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ssumptions" state="visible" r:id="rId5"/>
    <sheet sheetId="3" name="Unit Mix" state="visible" r:id="rId6"/>
    <sheet sheetId="4" name="Cost" state="visible" r:id="rId7"/>
    <sheet sheetId="5" name="P&amp;L" state="visible" r:id="rId8"/>
    <sheet sheetId="6" name="Waterfall" state="visible" r:id="rId9"/>
    <sheet sheetId="7" name="Cash Flow" state="visible" r:id="rId10"/>
    <sheet sheetId="8" name="Scenarios" state="visible" r:id="rId11"/>
  </sheets>
  <definedNames>
    <definedName name="occ_stab">Assumptions!$B$4</definedName>
    <definedName name="occ_y1">Assumptions!$B$5</definedName>
    <definedName name="occ_y2">Assumptions!$B$6</definedName>
    <definedName name="occ_ramp_years">Assumptions!$B$7</definedName>
    <definedName name="adr_y1f">Assumptions!$B$8</definedName>
    <definedName name="adr_infl">Assumptions!$B$9</definedName>
    <definedName name="iva">Assumptions!$B$10</definedName>
    <definedName name="alos">Assumptions!$B$11</definedName>
    <definedName name="comm_pct">Assumptions!$B$12</definedName>
    <definedName name="mgmt_pct">Assumptions!$B$13</definedName>
    <definedName name="admin_m">Assumptions!$B$14</definedName>
    <definedName name="util_m">Assumptions!$B$15</definedName>
    <definedName name="mtr_util_m">Assumptions!$B$16</definedName>
    <definedName name="mtr_mgmt_p">Assumptions!$B$17</definedName>
    <definedName name="mtr_maint_p">Assumptions!$B$18</definedName>
    <definedName name="mtr_rinfl">Assumptions!$B$19</definedName>
    <definedName name="hk_hours">Assumptions!$B$20</definedName>
    <definedName name="hk_rate">Assumptions!$B$21</definedName>
    <definedName name="linen_t">Assumptions!$B$22</definedName>
    <definedName name="amen_t">Assumptions!$B$23</definedName>
    <definedName name="commu_m">Assumptions!$B$24</definedName>
    <definedName name="ibi_a">Assumptions!$B$25</definedName>
    <definedName name="maint_pct">Assumptions!$B$26</definedName>
    <definedName name="it_m">Assumptions!$B$27</definedName>
    <definedName name="ins_m">Assumptions!$B$28</definedName>
    <definedName name="ffe_pct">Assumptions!$B$29</definedName>
    <definedName name="cost_infl">Assumptions!$B$30</definedName>
    <definedName name="anc_a">Assumptions!$B$31</definedName>
    <definedName name="cap">Assumptions!$B$32</definedName>
    <definedName name="sell_pct">Assumptions!$B$33</definedName>
    <definedName name="gp_pct">Assumptions!$B$34</definedName>
    <definedName name="tier_1">Assumptions!$B$35</definedName>
    <definedName name="tier_2">Assumptions!$B$36</definedName>
    <definedName name="split_1">Assumptions!$B$37</definedName>
    <definedName name="split_2">Assumptions!$B$38</definedName>
    <definedName name="split_3">Assumptions!$B$39</definedName>
    <definedName name="exit_lp">Assumptions!$B$40</definedName>
    <definedName name="pref_irr">Assumptions!$B$41</definedName>
    <definedName name="hurdle_irr">Assumptions!$B$42</definedName>
    <definedName name="split_pref">Assumptions!$B$43</definedName>
    <definedName name="split_hurdle">Assumptions!$B$44</definedName>
    <definedName name="ltv">Assumptions!$C$47</definedName>
    <definedName name="rate">Assumptions!$C$48</definedName>
    <definedName name="term">Assumptions!$C$49</definedName>
    <definedName name="grace">Assumptions!$C$50</definedName>
    <definedName name="apertura_pct">Assumptions!$C$51</definedName>
    <definedName name="ajdm_pct">Assumptions!$C$52</definedName>
    <definedName name="tasacion_u">Assumptions!$C$53</definedName>
    <definedName name="notaria_pct">Assumptions!$C$54</definedName>
    <definedName name="registro_pct">Assumptions!$C$55</definedName>
    <definedName name="gestoria_f">Assumptions!$C$56</definedName>
    <definedName name="vat_works">Assumptions!$B$66</definedName>
    <definedName name="vat_ffe">Assumptions!$B$67</definedName>
    <definedName name="vat_soft">Assumptions!$B$68</definedName>
    <definedName name="vat_fees">Assumptions!$B$69</definedName>
    <definedName name="vat_months">Assumptions!$B$70</definedName>
    <definedName name="unit_n">'Unit Mix'!$B$37</definedName>
    <definedName name="blended_incl">'Unit Mix'!$B$38</definedName>
    <definedName name="clean_base">'Unit Mix'!$B$39</definedName>
    <definedName name="anc_units">'Unit Mix'!$B$40</definedName>
    <definedName name="mtr_n">'Unit Mix'!$B$41</definedName>
    <definedName name="cost_unit_n">'Unit Mix'!$B$42</definedName>
    <definedName name="mtr_rent_a">'Unit Mix'!$B$43</definedName>
    <definedName name="turn_base">'Unit Mix'!$B$44</definedName>
    <definedName name="price">Cost!$B$2</definedName>
    <definedName name="units_c">Cost!$B$3</definedName>
    <definedName name="ajd_pct">Cost!$B$4</definedName>
    <definedName name="itp_pct">Cost!$B$5</definedName>
    <definedName name="broker_pct">Cost!$B$6</definedName>
    <definedName name="dd_pct">Cost!$B$7</definedName>
    <definedName name="notary_f">Cost!$B$8</definedName>
    <definedName name="registry_f">Cost!$B$9</definedName>
    <definedName name="spv_f">Cost!$B$10</definedName>
    <definedName name="taxadv_f">Cost!$B$11</definedName>
    <definedName name="reno_u">Cost!$B$12</definedName>
    <definedName name="appl_u">Cost!$B$13</definedName>
    <definedName name="common_f">Cost!$B$14</definedName>
    <definedName name="deep_f">Cost!$B$15</definedName>
    <definedName name="conting_pct">Cost!$B$16</definedName>
    <definedName name="ffe_u">Cost!$B$17</definedName>
    <definedName name="itl_u">Cost!$B$18</definedName>
    <definedName name="permits_f">Cost!$B$19</definedName>
    <definedName name="arch_f">Cost!$B$20</definedName>
    <definedName name="gp_fee_pct">Cost!$B$21</definedName>
    <definedName name="cost_base">Cost!$B$27</definedName>
    <definedName name="tpc">Cost!$B$29</definedName>
    <definedName name="vat_float">Cost!$B$36</definedName>
    <definedName name="eq_total">Waterfall!$B$5</definedName>
    <definedName name="eq_lp">Waterfall!$B$6</definedName>
    <definedName name="eq_gp">Waterfall!$B$7</definedName>
  </definedNames>
  <calcPr calcId="171027"/>
</workbook>
</file>

<file path=xl/sharedStrings.xml><?xml version="1.0" encoding="utf-8"?>
<sst xmlns="http://schemas.openxmlformats.org/spreadsheetml/2006/main" count="431" uniqueCount="243">
  <si>
    <t>Orzán 19 — Marisol Patrimonio SL</t>
  </si>
  <si>
    <t>Everything here is a reference into the tabs behind it. Change an input on Assumptions and this page moves with it.</t>
  </si>
  <si>
    <t>Figures are the reporting scenario. The Scenarios tab lists the alternatives as modelled.</t>
  </si>
  <si>
    <t>THE PROJECT</t>
  </si>
  <si>
    <t>Units</t>
  </si>
  <si>
    <t>Purchase price</t>
  </si>
  <si>
    <t>Total project cost</t>
  </si>
  <si>
    <t>Cost per unit</t>
  </si>
  <si>
    <t>Stabilised NOI</t>
  </si>
  <si>
    <t>Yield on cost</t>
  </si>
  <si>
    <t>FINANCING</t>
  </si>
  <si>
    <t>Structure</t>
  </si>
  <si>
    <t>55% LTV</t>
  </si>
  <si>
    <t>Loan</t>
  </si>
  <si>
    <t>Loan to cost</t>
  </si>
  <si>
    <t>Debt setup costs</t>
  </si>
  <si>
    <t>Total equity</t>
  </si>
  <si>
    <t>VAT fronted (recoverable)</t>
  </si>
  <si>
    <t>Peak equity (incl. VAT)</t>
  </si>
  <si>
    <t>LP equity</t>
  </si>
  <si>
    <t>GP equity</t>
  </si>
  <si>
    <t>Annual debt service</t>
  </si>
  <si>
    <t>DSCR (stabilised)</t>
  </si>
  <si>
    <t>EXIT</t>
  </si>
  <si>
    <t>Hold (years)</t>
  </si>
  <si>
    <t>Exit cap rate</t>
  </si>
  <si>
    <t>Gross sale price</t>
  </si>
  <si>
    <t>Selling costs</t>
  </si>
  <si>
    <t>Loan balance repaid</t>
  </si>
  <si>
    <t>Net sale proceeds</t>
  </si>
  <si>
    <t>LP RETURN</t>
  </si>
  <si>
    <t>LP IRR</t>
  </si>
  <si>
    <t>LP equity multiple</t>
  </si>
  <si>
    <t>Total cash to LP</t>
  </si>
  <si>
    <t>LP average yield on equity</t>
  </si>
  <si>
    <t>LP IRR after VAT float</t>
  </si>
  <si>
    <t>GP</t>
  </si>
  <si>
    <t>Total cash to GP</t>
  </si>
  <si>
    <t>GP equity multiple</t>
  </si>
  <si>
    <t>Yellow cells are inputs. Every other cell in this workbook is a formula — change an input and the model recomputes.</t>
  </si>
  <si>
    <t>Stabilised occupancy</t>
  </si>
  <si>
    <t>Occupancy Y1 (ramp)</t>
  </si>
  <si>
    <t>Occupancy Y2 (ramp)</t>
  </si>
  <si>
    <t>Stabilised from year</t>
  </si>
  <si>
    <t>Y1 ADR launch factor</t>
  </si>
  <si>
    <t>ADR inflation (from Y3)</t>
  </si>
  <si>
    <t>IVA on accommodation</t>
  </si>
  <si>
    <t>Average length of stay (nights)</t>
  </si>
  <si>
    <t>Platform commission (% gross)</t>
  </si>
  <si>
    <t>Management fee (% total operating revenue)</t>
  </si>
  <si>
    <t>Admin, monthly</t>
  </si>
  <si>
    <t>Utilities / unit / month</t>
  </si>
  <si>
    <t>Utilities / mid-term unit / month</t>
  </si>
  <si>
    <t>Management fee (% mid-term rent)</t>
  </si>
  <si>
    <t>Maintenance (% mid-term rent)</t>
  </si>
  <si>
    <t>Mid-term rent inflation</t>
  </si>
  <si>
    <t>Cleaner hours / turnover</t>
  </si>
  <si>
    <t>Cleaner hourly rate, all in</t>
  </si>
  <si>
    <t>Linen / turnover</t>
  </si>
  <si>
    <t>Amenities / turnover</t>
  </si>
  <si>
    <t>Community / unit / month</t>
  </si>
  <si>
    <t>IBI, annual</t>
  </si>
  <si>
    <t>Maintenance (% total operating revenue)</t>
  </si>
  <si>
    <t>IT / unit / month</t>
  </si>
  <si>
    <t>Insurance / unit / month</t>
  </si>
  <si>
    <t>FF&amp;E reserve (% total operating revenue)</t>
  </si>
  <si>
    <t>Cost inflation</t>
  </si>
  <si>
    <t>Ancillary net, annual</t>
  </si>
  <si>
    <t>Selling costs (% gross exit)</t>
  </si>
  <si>
    <t>GP share of equity</t>
  </si>
  <si>
    <t>Tier 1 threshold (LP RoE)</t>
  </si>
  <si>
    <t>Tier 2 threshold (LP RoE)</t>
  </si>
  <si>
    <t>LP split, tier 1</t>
  </si>
  <si>
    <t>LP split, tier 2</t>
  </si>
  <si>
    <t>LP split, tier 3</t>
  </si>
  <si>
    <t>LP share of exit gain</t>
  </si>
  <si>
    <t>Preferred return (LP IRR)</t>
  </si>
  <si>
    <t>Hurdle (LP IRR)</t>
  </si>
  <si>
    <t>LP split, pref to hurdle</t>
  </si>
  <si>
    <t>LP split, above hurdle</t>
  </si>
  <si>
    <t>FINANCING — every structure, side by side</t>
  </si>
  <si>
    <t>No debt</t>
  </si>
  <si>
    <t>55% LTV  ←</t>
  </si>
  <si>
    <t>65% LTV</t>
  </si>
  <si>
    <t>LTV (% of TPC)</t>
  </si>
  <si>
    <t>All-in rate (euribor + spread)</t>
  </si>
  <si>
    <t>Term (years)</t>
  </si>
  <si>
    <t>Grace (months)</t>
  </si>
  <si>
    <t>Apertura (% loan)</t>
  </si>
  <si>
    <t>AJD on mortgage (% loan)</t>
  </si>
  <si>
    <t>Tasación / unit</t>
  </si>
  <si>
    <t>Notaría (% loan)</t>
  </si>
  <si>
    <t>Registro (% loan)</t>
  </si>
  <si>
    <t>Gestoría, fixed</t>
  </si>
  <si>
    <t>RECOVERABLE VAT — the float, not a cost</t>
  </si>
  <si>
    <t>IVA on works (%)</t>
  </si>
  <si>
    <t>IVA on FF&amp;E (%)</t>
  </si>
  <si>
    <t>IVA on soft costs (%)</t>
  </si>
  <si>
    <t>IVA on fees (%)</t>
  </si>
  <si>
    <t>Months until reclaimed</t>
  </si>
  <si>
    <t>Unit</t>
  </si>
  <si>
    <t>Kind</t>
  </si>
  <si>
    <t>ADR incl IVA</t>
  </si>
  <si>
    <t>Occupancy</t>
  </si>
  <si>
    <t>Cleaning fee incl IVA</t>
  </si>
  <si>
    <t>Monthly income</t>
  </si>
  <si>
    <t>Double room</t>
  </si>
  <si>
    <t>STR</t>
  </si>
  <si>
    <t>Sea room</t>
  </si>
  <si>
    <t>STR units</t>
  </si>
  <si>
    <t>Blended ADR incl IVA (occ-weighted)</t>
  </si>
  <si>
    <t>Cleaning revenue base (stabilised, ex IVA)</t>
  </si>
  <si>
    <t>Ancillary unit income, annual</t>
  </si>
  <si>
    <t>Mid-term units</t>
  </si>
  <si>
    <t>Units carrying per-unit costs</t>
  </si>
  <si>
    <t>Mid-term rent, annual</t>
  </si>
  <si>
    <t>Turnovers at stabilised occupancy</t>
  </si>
  <si>
    <t>Tax regime: ITP / AJD (IVA is recoverable and never enters the cost base)</t>
  </si>
  <si>
    <t>Units (cost basis)</t>
  </si>
  <si>
    <t>AJD %</t>
  </si>
  <si>
    <t>ITP %</t>
  </si>
  <si>
    <t>Broker commission %</t>
  </si>
  <si>
    <t>Due diligence %</t>
  </si>
  <si>
    <t>Notary</t>
  </si>
  <si>
    <t>Registry</t>
  </si>
  <si>
    <t>SPV setup</t>
  </si>
  <si>
    <t>Tax advisory</t>
  </si>
  <si>
    <t>Renovation / unit</t>
  </si>
  <si>
    <t>Appliances / unit</t>
  </si>
  <si>
    <t>Common areas</t>
  </si>
  <si>
    <t>Deep conversion</t>
  </si>
  <si>
    <t>Contingency %</t>
  </si>
  <si>
    <t>FF&amp;E / unit</t>
  </si>
  <si>
    <t>IT &amp; locks / unit</t>
  </si>
  <si>
    <t>Permits &amp; licensing</t>
  </si>
  <si>
    <t>Architect &amp; technical</t>
  </si>
  <si>
    <t>GP setup fee % (of total project cost)</t>
  </si>
  <si>
    <t>Taxes &amp; acquisition costs</t>
  </si>
  <si>
    <t>Renovation (incl contingency)</t>
  </si>
  <si>
    <t>FF&amp;E and tech</t>
  </si>
  <si>
    <t>Soft costs</t>
  </si>
  <si>
    <t>Cost base</t>
  </si>
  <si>
    <t>GP setup fee</t>
  </si>
  <si>
    <t>TOTAL PROJECT COST</t>
  </si>
  <si>
    <t>RECOVERABLE VAT — fronted at close, back in ~12 months</t>
  </si>
  <si>
    <t>IVA on purchase (0%, per regime)</t>
  </si>
  <si>
    <t>IVA on works</t>
  </si>
  <si>
    <t>IVA on FF&amp;E</t>
  </si>
  <si>
    <t>IVA on soft costs</t>
  </si>
  <si>
    <t>IVA on fees</t>
  </si>
  <si>
    <t>VAT FLOAT (recoverable, not in TPC)</t>
  </si>
  <si>
    <t>Ex-IVA throughout (house standard). USALI order. All rows recompute from Assumptions and Unit Mix.</t>
  </si>
  <si>
    <t>Y1</t>
  </si>
  <si>
    <t>Y2</t>
  </si>
  <si>
    <t>Y3</t>
  </si>
  <si>
    <t>Y4</t>
  </si>
  <si>
    <t>Y5</t>
  </si>
  <si>
    <t>Y6</t>
  </si>
  <si>
    <t>Y7</t>
  </si>
  <si>
    <t>Blended ADR ex-IVA</t>
  </si>
  <si>
    <t>Accommodation</t>
  </si>
  <si>
    <t>Cleaning fees</t>
  </si>
  <si>
    <t>Mid-term rent</t>
  </si>
  <si>
    <t>Ancillary income</t>
  </si>
  <si>
    <t>Total operating revenue</t>
  </si>
  <si>
    <t>Platform commission</t>
  </si>
  <si>
    <t>Cleaning</t>
  </si>
  <si>
    <t>Linen</t>
  </si>
  <si>
    <t>Amenities</t>
  </si>
  <si>
    <t>Departmental expenses</t>
  </si>
  <si>
    <t>Admin / accounting</t>
  </si>
  <si>
    <t>Utilities + community</t>
  </si>
  <si>
    <t>Maintenance</t>
  </si>
  <si>
    <t>IT / tech</t>
  </si>
  <si>
    <t>Building manager (fixed_annual)</t>
  </si>
  <si>
    <t>Extended appliance warranty (per_unit_month)</t>
  </si>
  <si>
    <t>Undistributed expenses</t>
  </si>
  <si>
    <t>GOP</t>
  </si>
  <si>
    <t>Management fee — 15,5 % of total operating revenue</t>
  </si>
  <si>
    <t>Management fees</t>
  </si>
  <si>
    <t>Income before non-operating</t>
  </si>
  <si>
    <t>Property tax (IBI)</t>
  </si>
  <si>
    <t>Insurance</t>
  </si>
  <si>
    <t>Non-operating</t>
  </si>
  <si>
    <t>EBITDA</t>
  </si>
  <si>
    <t>FF&amp;E reserve</t>
  </si>
  <si>
    <t>NOI</t>
  </si>
  <si>
    <t>Memo: short-let net revenue</t>
  </si>
  <si>
    <t>Memo: cost inflation factor</t>
  </si>
  <si>
    <t>Memo: NOI before the plan's own lines — the base of a share-of-NOI line</t>
  </si>
  <si>
    <t>Cash live from the P&amp;L and Assumptions; debt is the monthly French schedule (CUMIPMT/CUMPRINC). The promote is whole-life — pro rata to the preferred LP IRR, then split_pref to the hurdle IRR, then split_hurdle — re-measured at every distribution, so the tier rows and the exit split are the engine's numbers as constants.</t>
  </si>
  <si>
    <t>Loan interest</t>
  </si>
  <si>
    <t>Principal repaid</t>
  </si>
  <si>
    <t>Distributable cash</t>
  </si>
  <si>
    <t>Pool (never below zero)</t>
  </si>
  <si>
    <t>Owed to reach the preferred IRR</t>
  </si>
  <si>
    <t>Owed to reach the hurdle IRR</t>
  </si>
  <si>
    <t>LP received, start of year</t>
  </si>
  <si>
    <t>Tier A pool (pro rata)</t>
  </si>
  <si>
    <t>Tier B pool (to the hurdle)</t>
  </si>
  <si>
    <t>Tier C pool (above)</t>
  </si>
  <si>
    <t>LP distribution</t>
  </si>
  <si>
    <t>GP distribution</t>
  </si>
  <si>
    <t>Exit NOI (final year)</t>
  </si>
  <si>
    <t>Gross exit price</t>
  </si>
  <si>
    <t>Loan balance at exit</t>
  </si>
  <si>
    <t>Net proceeds after debt</t>
  </si>
  <si>
    <t>Exit gain over equity</t>
  </si>
  <si>
    <t>LP from exit (through the waterfall)</t>
  </si>
  <si>
    <t>GP from exit</t>
  </si>
  <si>
    <t>LP cash flows (t0 … exit)</t>
  </si>
  <si>
    <t>LP total</t>
  </si>
  <si>
    <t>LP multiple</t>
  </si>
  <si>
    <t>Yield on cost (stabilised)</t>
  </si>
  <si>
    <t>Every structure, one block each — because the offer differs per structure. VAT is fronted at close and reclaimed later; it is funded by equity, so the equity rows carry it and 'Net cash at close' is zero.</t>
  </si>
  <si>
    <t>No debt  ·  cash live, LP/GP split as modelled</t>
  </si>
  <si>
    <t>At close</t>
  </si>
  <si>
    <t>Project cost at close</t>
  </si>
  <si>
    <t>Loan drawn</t>
  </si>
  <si>
    <t>LP equity in (incl. VAT)</t>
  </si>
  <si>
    <t>GP equity in (incl. VAT)</t>
  </si>
  <si>
    <t>Net cash at close</t>
  </si>
  <si>
    <t>Cash flow after debt service</t>
  </si>
  <si>
    <t>VAT paid in year</t>
  </si>
  <si>
    <t>VAT reclaimed</t>
  </si>
  <si>
    <t>Cumulative cash</t>
  </si>
  <si>
    <t>DSCR</t>
  </si>
  <si>
    <t>LP capital and gain at exit</t>
  </si>
  <si>
    <t>GP capital and gain at exit</t>
  </si>
  <si>
    <t>VAT to LP, net of VAT funded</t>
  </si>
  <si>
    <t>VAT to GP, net of VAT funded</t>
  </si>
  <si>
    <t>Total to investors</t>
  </si>
  <si>
    <t>Cash available to equity</t>
  </si>
  <si>
    <t>Cash left undistributed</t>
  </si>
  <si>
    <t>LP net cash flow (after VAT)</t>
  </si>
  <si>
    <t>LP cumulative</t>
  </si>
  <si>
    <t>55% LTV  ← reported  ·  cash live, LP/GP split as modelled</t>
  </si>
  <si>
    <t>65% LTV  ·  cash live, LP/GP split as modelled</t>
  </si>
  <si>
    <t>Every financing structure, as modelled by the app. Cached values — the live tabs recompute the reporting scenario only.</t>
  </si>
  <si>
    <t>Scenario</t>
  </si>
  <si>
    <t>Reporting basis</t>
  </si>
  <si>
    <t/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</si>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</sst>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sz val="12"/>
    </font>
    <font>
      <i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6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f>units_c</f>
        <v>34</v>
      </c>
    </row>
    <row r="7" spans="1:2" x14ac:dyDescent="0.25">
      <c r="A7" t="s">
        <v>5</v>
      </c>
      <c r="B7" s="5">
        <f>price</f>
        <v>4900000</v>
      </c>
    </row>
    <row r="8" spans="1:2" x14ac:dyDescent="0.25">
      <c r="A8" t="s">
        <v>6</v>
      </c>
      <c r="B8" s="5">
        <f>tpc</f>
        <v>6118928.571428572</v>
      </c>
    </row>
    <row r="9" spans="1:2" x14ac:dyDescent="0.25">
      <c r="A9" t="s">
        <v>7</v>
      </c>
      <c r="B9" s="5">
        <f>IF(units_c=0,0,tpc/units_c)</f>
        <v>179968.487394958</v>
      </c>
    </row>
    <row r="10" spans="1:2" x14ac:dyDescent="0.25">
      <c r="A10" t="s">
        <v>8</v>
      </c>
      <c r="B10" s="5">
        <f>'P&amp;L'!E31</f>
        <v>567198.1105800003</v>
      </c>
    </row>
    <row r="11" spans="1:2" x14ac:dyDescent="0.25">
      <c r="A11" t="s">
        <v>9</v>
      </c>
      <c r="B11" s="6">
        <f>IF(tpc=0,0,B10/tpc)</f>
        <v>0.0926956580647873</v>
      </c>
    </row>
    <row r="13" spans="1:1" x14ac:dyDescent="0.25">
      <c r="A13" s="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s="5">
        <f>Waterfall!B3</f>
        <v>3365410.7142857146</v>
      </c>
    </row>
    <row r="16" spans="1:2" x14ac:dyDescent="0.25">
      <c r="A16" t="s">
        <v>14</v>
      </c>
      <c r="B16" s="6">
        <f>IF(tpc=0,0,B15/tpc)</f>
        <v>0.55</v>
      </c>
    </row>
    <row r="17" spans="1:2" x14ac:dyDescent="0.25">
      <c r="A17" t="s">
        <v>15</v>
      </c>
      <c r="B17" s="5">
        <f>Waterfall!B4</f>
        <v>78740.91964285714</v>
      </c>
    </row>
    <row r="18" spans="1:2" x14ac:dyDescent="0.25">
      <c r="A18" t="s">
        <v>16</v>
      </c>
      <c r="B18" s="5">
        <f>eq_total</f>
        <v>2832258.7767857146</v>
      </c>
    </row>
    <row r="19" spans="1:2" x14ac:dyDescent="0.25">
      <c r="A19" t="s">
        <v>17</v>
      </c>
      <c r="B19" s="5">
        <f>vat_float</f>
        <v>160818</v>
      </c>
    </row>
    <row r="20" spans="1:2" x14ac:dyDescent="0.25">
      <c r="A20" t="s">
        <v>18</v>
      </c>
      <c r="B20" s="5">
        <f>eq_total+vat_float</f>
        <v>2993076.7767857146</v>
      </c>
    </row>
    <row r="21" spans="1:2" x14ac:dyDescent="0.25">
      <c r="A21" t="s">
        <v>19</v>
      </c>
      <c r="B21" s="5">
        <f>eq_lp</f>
        <v>2265807.0214285715</v>
      </c>
    </row>
    <row r="22" spans="1:2" x14ac:dyDescent="0.25">
      <c r="A22" t="s">
        <v>20</v>
      </c>
      <c r="B22" s="5">
        <f>eq_gp</f>
        <v>566451.7553571429</v>
      </c>
    </row>
    <row r="23" spans="1:2" x14ac:dyDescent="0.25">
      <c r="A23" t="s">
        <v>21</v>
      </c>
      <c r="B23" s="5">
        <f>Waterfall!B8</f>
        <v>274060.8635447608</v>
      </c>
    </row>
    <row r="24" spans="1:2" x14ac:dyDescent="0.25">
      <c r="A24" t="s">
        <v>22</v>
      </c>
      <c r="B24" s="7">
        <f>IF(Waterfall!B8=0,0,B10/Waterfall!B8)</f>
        <v>2.069606375911324</v>
      </c>
    </row>
    <row r="26" spans="1:1" x14ac:dyDescent="0.25">
      <c r="A26" s="3" t="s">
        <v>23</v>
      </c>
    </row>
    <row r="27" spans="1:2" x14ac:dyDescent="0.25">
      <c r="A27" t="s">
        <v>24</v>
      </c>
      <c r="B27" s="4">
        <v>7</v>
      </c>
    </row>
    <row r="28" spans="1:2" x14ac:dyDescent="0.25">
      <c r="A28" t="s">
        <v>25</v>
      </c>
      <c r="B28" s="6">
        <f>cap</f>
        <v>0.07</v>
      </c>
    </row>
    <row r="29" spans="1:2" x14ac:dyDescent="0.25">
      <c r="A29" t="s">
        <v>26</v>
      </c>
      <c r="B29" s="5">
        <f>Waterfall!B26</f>
        <v>8770763.942614693</v>
      </c>
    </row>
    <row r="30" spans="1:2" x14ac:dyDescent="0.25">
      <c r="A30" t="s">
        <v>27</v>
      </c>
      <c r="B30" s="5">
        <f>Waterfall!B27</f>
        <v>-175415.27885229388</v>
      </c>
    </row>
    <row r="31" spans="1:2" x14ac:dyDescent="0.25">
      <c r="A31" t="s">
        <v>28</v>
      </c>
      <c r="B31" s="5">
        <f>Waterfall!B28</f>
        <v>1966054.6691312923</v>
      </c>
    </row>
    <row r="32" spans="1:2" x14ac:dyDescent="0.25">
      <c r="A32" t="s">
        <v>29</v>
      </c>
      <c r="B32" s="5">
        <f>Waterfall!B29</f>
        <v>6629293.994631108</v>
      </c>
    </row>
    <row r="34" spans="1:1" x14ac:dyDescent="0.25">
      <c r="A34" s="3" t="s">
        <v>30</v>
      </c>
    </row>
    <row r="35" spans="1:2" x14ac:dyDescent="0.25">
      <c r="A35" t="s">
        <v>31</v>
      </c>
      <c r="B35" s="6">
        <f>Waterfall!B36</f>
        <v>0.18128668894830902</v>
      </c>
    </row>
    <row r="36" spans="1:2" x14ac:dyDescent="0.25">
      <c r="A36" t="s">
        <v>32</v>
      </c>
      <c r="B36" s="7">
        <f>Waterfall!B38</f>
        <v>2.7359088397124776</v>
      </c>
    </row>
    <row r="37" spans="1:2" x14ac:dyDescent="0.25">
      <c r="A37" t="s">
        <v>33</v>
      </c>
      <c r="B37" s="5">
        <f>Waterfall!B37</f>
        <v>6199041.459009028</v>
      </c>
    </row>
    <row r="38" spans="1:2" x14ac:dyDescent="0.25">
      <c r="A38" t="s">
        <v>34</v>
      </c>
      <c r="B38" s="6">
        <f>IF(eq_lp=0,0,AVERAGE(Waterfall!C22:I22)/eq_lp)</f>
        <v>0.10297742233523599</v>
      </c>
    </row>
    <row r="39" spans="1:2" x14ac:dyDescent="0.25">
      <c r="A39" t="s">
        <v>35</v>
      </c>
      <c r="B39" s="6">
        <f>IRR('Cash Flow'!B77:'Cash Flow'!I77)</f>
        <v>0.17952247460090268</v>
      </c>
    </row>
    <row r="41" spans="1:1" x14ac:dyDescent="0.25">
      <c r="A41" s="3" t="s">
        <v>36</v>
      </c>
    </row>
    <row r="42" spans="1:2" x14ac:dyDescent="0.25">
      <c r="A42" t="s">
        <v>37</v>
      </c>
      <c r="B42" s="5">
        <f>SUM(Waterfall!C23:I23)+Waterfall!B32</f>
        <v>2471863.4931602697</v>
      </c>
    </row>
    <row r="43" spans="1:2" x14ac:dyDescent="0.25">
      <c r="A43" t="s">
        <v>38</v>
      </c>
      <c r="B43" s="7">
        <f>IF(eq_gp=0,0,B42/eq_gp)</f>
        <v>4.3637670283178505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FormatPr defaultRowHeight="15" outlineLevelRow="0" outlineLevelCol="0" x14ac:dyDescent="55"/>
  <cols>
    <col min="1" max="1" width="34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39</v>
      </c>
    </row>
    <row r="4" spans="1:2" x14ac:dyDescent="0.25">
      <c r="A4" t="s">
        <v>40</v>
      </c>
      <c r="B4" s="8">
        <v>0.82</v>
      </c>
    </row>
    <row r="5" spans="1:2" x14ac:dyDescent="0.25">
      <c r="A5" t="s">
        <v>41</v>
      </c>
      <c r="B5" s="8">
        <v>0.76</v>
      </c>
    </row>
    <row r="6" spans="1:2" x14ac:dyDescent="0.25">
      <c r="A6" t="s">
        <v>42</v>
      </c>
      <c r="B6" s="8">
        <v>0.79</v>
      </c>
    </row>
    <row r="7" spans="1:2" x14ac:dyDescent="0.25">
      <c r="A7" t="s">
        <v>43</v>
      </c>
      <c r="B7" s="9">
        <v>3</v>
      </c>
    </row>
    <row r="8" spans="1:2" x14ac:dyDescent="0.25">
      <c r="A8" t="s">
        <v>44</v>
      </c>
      <c r="B8" s="10">
        <v>0.95</v>
      </c>
    </row>
    <row r="9" spans="1:2" x14ac:dyDescent="0.25">
      <c r="A9" t="s">
        <v>45</v>
      </c>
      <c r="B9" s="8">
        <v>0.02</v>
      </c>
    </row>
    <row r="10" spans="1:2" x14ac:dyDescent="0.25">
      <c r="A10" t="s">
        <v>46</v>
      </c>
      <c r="B10" s="8">
        <v>0.1</v>
      </c>
    </row>
    <row r="11" spans="1:2" x14ac:dyDescent="0.25">
      <c r="A11" t="s">
        <v>47</v>
      </c>
      <c r="B11" s="10">
        <v>2.5</v>
      </c>
    </row>
    <row r="12" spans="1:2" x14ac:dyDescent="0.25">
      <c r="A12" t="s">
        <v>48</v>
      </c>
      <c r="B12" s="8">
        <v>0.17</v>
      </c>
    </row>
    <row r="13" spans="1:2" x14ac:dyDescent="0.25">
      <c r="A13" t="s">
        <v>49</v>
      </c>
      <c r="B13" s="8">
        <v>0.155</v>
      </c>
    </row>
    <row r="14" spans="1:2" x14ac:dyDescent="0.25">
      <c r="A14" t="s">
        <v>50</v>
      </c>
      <c r="B14" s="11">
        <v>200</v>
      </c>
    </row>
    <row r="15" spans="1:2" x14ac:dyDescent="0.25">
      <c r="A15" t="s">
        <v>51</v>
      </c>
      <c r="B15" s="11">
        <v>125</v>
      </c>
    </row>
    <row r="16" spans="1:2" x14ac:dyDescent="0.25">
      <c r="A16" t="s">
        <v>52</v>
      </c>
      <c r="B16" s="11">
        <v>0</v>
      </c>
    </row>
    <row r="17" spans="1:2" x14ac:dyDescent="0.25">
      <c r="A17" t="s">
        <v>53</v>
      </c>
      <c r="B17" s="8">
        <v>0.05</v>
      </c>
    </row>
    <row r="18" spans="1:2" x14ac:dyDescent="0.25">
      <c r="A18" t="s">
        <v>54</v>
      </c>
      <c r="B18" s="8">
        <v>0.008</v>
      </c>
    </row>
    <row r="19" spans="1:2" x14ac:dyDescent="0.25">
      <c r="A19" t="s">
        <v>55</v>
      </c>
      <c r="B19" s="8">
        <v>0.02</v>
      </c>
    </row>
    <row r="20" spans="1:2" x14ac:dyDescent="0.25">
      <c r="A20" t="s">
        <v>56</v>
      </c>
      <c r="B20" s="10">
        <v>0.75</v>
      </c>
    </row>
    <row r="21" spans="1:2" x14ac:dyDescent="0.25">
      <c r="A21" t="s">
        <v>57</v>
      </c>
      <c r="B21" s="11">
        <v>13.5</v>
      </c>
    </row>
    <row r="22" spans="1:2" x14ac:dyDescent="0.25">
      <c r="A22" t="s">
        <v>58</v>
      </c>
      <c r="B22" s="11">
        <v>5</v>
      </c>
    </row>
    <row r="23" spans="1:2" x14ac:dyDescent="0.25">
      <c r="A23" t="s">
        <v>59</v>
      </c>
      <c r="B23" s="11">
        <v>3</v>
      </c>
    </row>
    <row r="24" spans="1:2" x14ac:dyDescent="0.25">
      <c r="A24" t="s">
        <v>60</v>
      </c>
      <c r="B24" s="11">
        <v>12</v>
      </c>
    </row>
    <row r="25" spans="1:2" x14ac:dyDescent="0.25">
      <c r="A25" t="s">
        <v>61</v>
      </c>
      <c r="B25" s="11">
        <v>12000</v>
      </c>
    </row>
    <row r="26" spans="1:2" x14ac:dyDescent="0.25">
      <c r="A26" t="s">
        <v>62</v>
      </c>
      <c r="B26" s="8">
        <v>0.012</v>
      </c>
    </row>
    <row r="27" spans="1:2" x14ac:dyDescent="0.25">
      <c r="A27" t="s">
        <v>63</v>
      </c>
      <c r="B27" s="11">
        <v>40</v>
      </c>
    </row>
    <row r="28" spans="1:2" x14ac:dyDescent="0.25">
      <c r="A28" t="s">
        <v>64</v>
      </c>
      <c r="B28" s="11">
        <v>15</v>
      </c>
    </row>
    <row r="29" spans="1:2" x14ac:dyDescent="0.25">
      <c r="A29" t="s">
        <v>65</v>
      </c>
      <c r="B29" s="8">
        <v>0.025</v>
      </c>
    </row>
    <row r="30" spans="1:2" x14ac:dyDescent="0.25">
      <c r="A30" t="s">
        <v>66</v>
      </c>
      <c r="B30" s="8">
        <v>0.02</v>
      </c>
    </row>
    <row r="31" spans="1:2" x14ac:dyDescent="0.25">
      <c r="A31" t="s">
        <v>67</v>
      </c>
      <c r="B31" s="11">
        <v>0</v>
      </c>
    </row>
    <row r="32" spans="1:2" x14ac:dyDescent="0.25">
      <c r="A32" t="s">
        <v>25</v>
      </c>
      <c r="B32" s="8">
        <v>0.07</v>
      </c>
    </row>
    <row r="33" spans="1:2" x14ac:dyDescent="0.25">
      <c r="A33" t="s">
        <v>68</v>
      </c>
      <c r="B33" s="8">
        <v>0.02</v>
      </c>
    </row>
    <row r="34" spans="1:2" x14ac:dyDescent="0.25">
      <c r="A34" t="s">
        <v>69</v>
      </c>
      <c r="B34" s="8">
        <v>0.2</v>
      </c>
    </row>
    <row r="35" spans="1:2" x14ac:dyDescent="0.25">
      <c r="A35" t="s">
        <v>70</v>
      </c>
      <c r="B35" s="8">
        <v>0.08</v>
      </c>
    </row>
    <row r="36" spans="1:2" x14ac:dyDescent="0.25">
      <c r="A36" t="s">
        <v>71</v>
      </c>
      <c r="B36" s="8">
        <v>0.12</v>
      </c>
    </row>
    <row r="37" spans="1:2" x14ac:dyDescent="0.25">
      <c r="A37" t="s">
        <v>72</v>
      </c>
      <c r="B37" s="8">
        <v>0.8</v>
      </c>
    </row>
    <row r="38" spans="1:2" x14ac:dyDescent="0.25">
      <c r="A38" t="s">
        <v>73</v>
      </c>
      <c r="B38" s="8">
        <v>0.7</v>
      </c>
    </row>
    <row r="39" spans="1:2" x14ac:dyDescent="0.25">
      <c r="A39" t="s">
        <v>74</v>
      </c>
      <c r="B39" s="8">
        <v>0.6</v>
      </c>
    </row>
    <row r="40" spans="1:2" x14ac:dyDescent="0.25">
      <c r="A40" t="s">
        <v>75</v>
      </c>
      <c r="B40" s="8">
        <v>0.8</v>
      </c>
    </row>
    <row r="41" spans="1:2" x14ac:dyDescent="0.25">
      <c r="A41" t="s">
        <v>76</v>
      </c>
      <c r="B41" s="8">
        <v>0.08</v>
      </c>
    </row>
    <row r="42" spans="1:2" x14ac:dyDescent="0.25">
      <c r="A42" t="s">
        <v>77</v>
      </c>
      <c r="B42" s="8">
        <v>0.12</v>
      </c>
    </row>
    <row r="43" spans="1:2" x14ac:dyDescent="0.25">
      <c r="A43" t="s">
        <v>78</v>
      </c>
      <c r="B43" s="8">
        <v>0.7</v>
      </c>
    </row>
    <row r="44" spans="1:2" x14ac:dyDescent="0.25">
      <c r="A44" t="s">
        <v>79</v>
      </c>
      <c r="B44" s="8">
        <v>0.6</v>
      </c>
    </row>
    <row r="45" spans="1:1" x14ac:dyDescent="0.25">
      <c r="A45" s="3" t="s">
        <v>80</v>
      </c>
    </row>
    <row r="46" spans="2:4" x14ac:dyDescent="0.25">
      <c r="B46" s="3" t="s">
        <v>81</v>
      </c>
      <c r="C46" s="3" t="s">
        <v>82</v>
      </c>
      <c r="D46" s="3" t="s">
        <v>83</v>
      </c>
    </row>
    <row r="47" spans="1:4" x14ac:dyDescent="0.25">
      <c r="A47" t="s">
        <v>84</v>
      </c>
      <c r="B47" s="8">
        <v>0</v>
      </c>
      <c r="C47" s="8">
        <v>0.55</v>
      </c>
      <c r="D47" s="8">
        <v>0.65</v>
      </c>
    </row>
    <row r="48" spans="1:4" x14ac:dyDescent="0.25">
      <c r="A48" t="s">
        <v>85</v>
      </c>
      <c r="B48" s="8">
        <v>0.0275</v>
      </c>
      <c r="C48" s="8">
        <v>0.0275</v>
      </c>
      <c r="D48" s="8">
        <v>0.0275</v>
      </c>
    </row>
    <row r="49" spans="1:4" x14ac:dyDescent="0.25">
      <c r="A49" t="s">
        <v>86</v>
      </c>
      <c r="B49" s="9">
        <v>15</v>
      </c>
      <c r="C49" s="9">
        <v>15</v>
      </c>
      <c r="D49" s="9">
        <v>15</v>
      </c>
    </row>
    <row r="50" spans="1:4" x14ac:dyDescent="0.25">
      <c r="A50" t="s">
        <v>87</v>
      </c>
      <c r="B50" s="9">
        <v>0</v>
      </c>
      <c r="C50" s="9">
        <v>0</v>
      </c>
      <c r="D50" s="9">
        <v>0</v>
      </c>
    </row>
    <row r="51" spans="1:4" x14ac:dyDescent="0.25">
      <c r="A51" t="s">
        <v>88</v>
      </c>
      <c r="B51" s="8">
        <v>0.01</v>
      </c>
      <c r="C51" s="8">
        <v>0.01</v>
      </c>
      <c r="D51" s="8">
        <v>0.01</v>
      </c>
    </row>
    <row r="52" spans="1:4" x14ac:dyDescent="0.25">
      <c r="A52" t="s">
        <v>89</v>
      </c>
      <c r="B52" s="8">
        <v>0.0075</v>
      </c>
      <c r="C52" s="8">
        <v>0.0075</v>
      </c>
      <c r="D52" s="8">
        <v>0.0075</v>
      </c>
    </row>
    <row r="53" spans="1:4" x14ac:dyDescent="0.25">
      <c r="A53" t="s">
        <v>90</v>
      </c>
      <c r="B53" s="11">
        <v>275</v>
      </c>
      <c r="C53" s="11">
        <v>275</v>
      </c>
      <c r="D53" s="11">
        <v>275</v>
      </c>
    </row>
    <row r="54" spans="1:4" x14ac:dyDescent="0.25">
      <c r="A54" t="s">
        <v>91</v>
      </c>
      <c r="B54" s="8">
        <v>0.002</v>
      </c>
      <c r="C54" s="8">
        <v>0.002</v>
      </c>
      <c r="D54" s="8">
        <v>0.002</v>
      </c>
    </row>
    <row r="55" spans="1:4" x14ac:dyDescent="0.25">
      <c r="A55" t="s">
        <v>92</v>
      </c>
      <c r="B55" s="8">
        <v>0.001</v>
      </c>
      <c r="C55" s="8">
        <v>0.001</v>
      </c>
      <c r="D55" s="8">
        <v>0.001</v>
      </c>
    </row>
    <row r="56" spans="1:4" x14ac:dyDescent="0.25">
      <c r="A56" t="s">
        <v>93</v>
      </c>
      <c r="B56" s="11">
        <v>400</v>
      </c>
      <c r="C56" s="11">
        <v>400</v>
      </c>
      <c r="D56" s="11">
        <v>400</v>
      </c>
    </row>
    <row r="65" spans="1:1" x14ac:dyDescent="0.25">
      <c r="A65" s="3" t="s">
        <v>94</v>
      </c>
    </row>
    <row r="66" spans="1:2" x14ac:dyDescent="0.25">
      <c r="A66" t="s">
        <v>95</v>
      </c>
      <c r="B66" s="8">
        <v>0.21</v>
      </c>
    </row>
    <row r="67" spans="1:2" x14ac:dyDescent="0.25">
      <c r="A67" t="s">
        <v>96</v>
      </c>
      <c r="B67" s="8">
        <v>0.21</v>
      </c>
    </row>
    <row r="68" spans="1:2" x14ac:dyDescent="0.25">
      <c r="A68" t="s">
        <v>97</v>
      </c>
      <c r="B68" s="8">
        <v>0.21</v>
      </c>
    </row>
    <row r="69" spans="1:2" x14ac:dyDescent="0.25">
      <c r="A69" t="s">
        <v>98</v>
      </c>
      <c r="B69" s="8">
        <v>0.21</v>
      </c>
    </row>
    <row r="70" spans="1:2" x14ac:dyDescent="0.25">
      <c r="A70" t="s">
        <v>99</v>
      </c>
      <c r="B70" s="9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6" customWidth="1"/>
  </cols>
  <sheetData>
    <row r="1" spans="1:6" x14ac:dyDescent="0.25">
      <c r="A1" s="3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</row>
    <row r="2" spans="1:6" x14ac:dyDescent="0.25">
      <c r="A2" t="s">
        <v>106</v>
      </c>
      <c r="B2" t="s">
        <v>107</v>
      </c>
      <c r="C2" s="11">
        <v>118</v>
      </c>
      <c r="D2" s="8">
        <v>0.7</v>
      </c>
      <c r="E2" s="11">
        <v>0</v>
      </c>
      <c r="F2" s="11">
        <v>0</v>
      </c>
    </row>
    <row r="3" spans="1:6" x14ac:dyDescent="0.25">
      <c r="A3" t="s">
        <v>106</v>
      </c>
      <c r="B3" t="s">
        <v>107</v>
      </c>
      <c r="C3" s="11">
        <v>118</v>
      </c>
      <c r="D3" s="8">
        <v>0.7</v>
      </c>
      <c r="E3" s="11">
        <v>0</v>
      </c>
      <c r="F3" s="11">
        <v>0</v>
      </c>
    </row>
    <row r="4" spans="1:6" x14ac:dyDescent="0.25">
      <c r="A4" t="s">
        <v>106</v>
      </c>
      <c r="B4" t="s">
        <v>107</v>
      </c>
      <c r="C4" s="11">
        <v>118</v>
      </c>
      <c r="D4" s="8">
        <v>0.7</v>
      </c>
      <c r="E4" s="11">
        <v>0</v>
      </c>
      <c r="F4" s="11">
        <v>0</v>
      </c>
    </row>
    <row r="5" spans="1:6" x14ac:dyDescent="0.25">
      <c r="A5" t="s">
        <v>106</v>
      </c>
      <c r="B5" t="s">
        <v>107</v>
      </c>
      <c r="C5" s="11">
        <v>118</v>
      </c>
      <c r="D5" s="8">
        <v>0.7</v>
      </c>
      <c r="E5" s="11">
        <v>0</v>
      </c>
      <c r="F5" s="11">
        <v>0</v>
      </c>
    </row>
    <row r="6" spans="1:6" x14ac:dyDescent="0.25">
      <c r="A6" t="s">
        <v>106</v>
      </c>
      <c r="B6" t="s">
        <v>107</v>
      </c>
      <c r="C6" s="11">
        <v>118</v>
      </c>
      <c r="D6" s="8">
        <v>0.7</v>
      </c>
      <c r="E6" s="11">
        <v>0</v>
      </c>
      <c r="F6" s="11">
        <v>0</v>
      </c>
    </row>
    <row r="7" spans="1:6" x14ac:dyDescent="0.25">
      <c r="A7" t="s">
        <v>106</v>
      </c>
      <c r="B7" t="s">
        <v>107</v>
      </c>
      <c r="C7" s="11">
        <v>118</v>
      </c>
      <c r="D7" s="8">
        <v>0.7</v>
      </c>
      <c r="E7" s="11">
        <v>0</v>
      </c>
      <c r="F7" s="11">
        <v>0</v>
      </c>
    </row>
    <row r="8" spans="1:6" x14ac:dyDescent="0.25">
      <c r="A8" t="s">
        <v>106</v>
      </c>
      <c r="B8" t="s">
        <v>107</v>
      </c>
      <c r="C8" s="11">
        <v>118</v>
      </c>
      <c r="D8" s="8">
        <v>0.7</v>
      </c>
      <c r="E8" s="11">
        <v>0</v>
      </c>
      <c r="F8" s="11">
        <v>0</v>
      </c>
    </row>
    <row r="9" spans="1:6" x14ac:dyDescent="0.25">
      <c r="A9" t="s">
        <v>106</v>
      </c>
      <c r="B9" t="s">
        <v>107</v>
      </c>
      <c r="C9" s="11">
        <v>118</v>
      </c>
      <c r="D9" s="8">
        <v>0.7</v>
      </c>
      <c r="E9" s="11">
        <v>0</v>
      </c>
      <c r="F9" s="11">
        <v>0</v>
      </c>
    </row>
    <row r="10" spans="1:6" x14ac:dyDescent="0.25">
      <c r="A10" t="s">
        <v>106</v>
      </c>
      <c r="B10" t="s">
        <v>107</v>
      </c>
      <c r="C10" s="11">
        <v>118</v>
      </c>
      <c r="D10" s="8">
        <v>0.7</v>
      </c>
      <c r="E10" s="11">
        <v>0</v>
      </c>
      <c r="F10" s="11">
        <v>0</v>
      </c>
    </row>
    <row r="11" spans="1:6" x14ac:dyDescent="0.25">
      <c r="A11" t="s">
        <v>106</v>
      </c>
      <c r="B11" t="s">
        <v>107</v>
      </c>
      <c r="C11" s="11">
        <v>118</v>
      </c>
      <c r="D11" s="8">
        <v>0.7</v>
      </c>
      <c r="E11" s="11">
        <v>0</v>
      </c>
      <c r="F11" s="11">
        <v>0</v>
      </c>
    </row>
    <row r="12" spans="1:6" x14ac:dyDescent="0.25">
      <c r="A12" t="s">
        <v>106</v>
      </c>
      <c r="B12" t="s">
        <v>107</v>
      </c>
      <c r="C12" s="11">
        <v>118</v>
      </c>
      <c r="D12" s="8">
        <v>0.7</v>
      </c>
      <c r="E12" s="11">
        <v>0</v>
      </c>
      <c r="F12" s="11">
        <v>0</v>
      </c>
    </row>
    <row r="13" spans="1:6" x14ac:dyDescent="0.25">
      <c r="A13" t="s">
        <v>106</v>
      </c>
      <c r="B13" t="s">
        <v>107</v>
      </c>
      <c r="C13" s="11">
        <v>118</v>
      </c>
      <c r="D13" s="8">
        <v>0.7</v>
      </c>
      <c r="E13" s="11">
        <v>0</v>
      </c>
      <c r="F13" s="11">
        <v>0</v>
      </c>
    </row>
    <row r="14" spans="1:6" x14ac:dyDescent="0.25">
      <c r="A14" t="s">
        <v>106</v>
      </c>
      <c r="B14" t="s">
        <v>107</v>
      </c>
      <c r="C14" s="11">
        <v>118</v>
      </c>
      <c r="D14" s="8">
        <v>0.7</v>
      </c>
      <c r="E14" s="11">
        <v>0</v>
      </c>
      <c r="F14" s="11">
        <v>0</v>
      </c>
    </row>
    <row r="15" spans="1:6" x14ac:dyDescent="0.25">
      <c r="A15" t="s">
        <v>106</v>
      </c>
      <c r="B15" t="s">
        <v>107</v>
      </c>
      <c r="C15" s="11">
        <v>118</v>
      </c>
      <c r="D15" s="8">
        <v>0.7</v>
      </c>
      <c r="E15" s="11">
        <v>0</v>
      </c>
      <c r="F15" s="11">
        <v>0</v>
      </c>
    </row>
    <row r="16" spans="1:6" x14ac:dyDescent="0.25">
      <c r="A16" t="s">
        <v>106</v>
      </c>
      <c r="B16" t="s">
        <v>107</v>
      </c>
      <c r="C16" s="11">
        <v>118</v>
      </c>
      <c r="D16" s="8">
        <v>0.7</v>
      </c>
      <c r="E16" s="11">
        <v>0</v>
      </c>
      <c r="F16" s="11">
        <v>0</v>
      </c>
    </row>
    <row r="17" spans="1:6" x14ac:dyDescent="0.25">
      <c r="A17" t="s">
        <v>106</v>
      </c>
      <c r="B17" t="s">
        <v>107</v>
      </c>
      <c r="C17" s="11">
        <v>118</v>
      </c>
      <c r="D17" s="8">
        <v>0.7</v>
      </c>
      <c r="E17" s="11">
        <v>0</v>
      </c>
      <c r="F17" s="11">
        <v>0</v>
      </c>
    </row>
    <row r="18" spans="1:6" x14ac:dyDescent="0.25">
      <c r="A18" t="s">
        <v>106</v>
      </c>
      <c r="B18" t="s">
        <v>107</v>
      </c>
      <c r="C18" s="11">
        <v>118</v>
      </c>
      <c r="D18" s="8">
        <v>0.7</v>
      </c>
      <c r="E18" s="11">
        <v>0</v>
      </c>
      <c r="F18" s="11">
        <v>0</v>
      </c>
    </row>
    <row r="19" spans="1:6" x14ac:dyDescent="0.25">
      <c r="A19" t="s">
        <v>106</v>
      </c>
      <c r="B19" t="s">
        <v>107</v>
      </c>
      <c r="C19" s="11">
        <v>118</v>
      </c>
      <c r="D19" s="8">
        <v>0.7</v>
      </c>
      <c r="E19" s="11">
        <v>0</v>
      </c>
      <c r="F19" s="11">
        <v>0</v>
      </c>
    </row>
    <row r="20" spans="1:6" x14ac:dyDescent="0.25">
      <c r="A20" t="s">
        <v>106</v>
      </c>
      <c r="B20" t="s">
        <v>107</v>
      </c>
      <c r="C20" s="11">
        <v>118</v>
      </c>
      <c r="D20" s="8">
        <v>0.7</v>
      </c>
      <c r="E20" s="11">
        <v>0</v>
      </c>
      <c r="F20" s="11">
        <v>0</v>
      </c>
    </row>
    <row r="21" spans="1:6" x14ac:dyDescent="0.25">
      <c r="A21" t="s">
        <v>106</v>
      </c>
      <c r="B21" t="s">
        <v>107</v>
      </c>
      <c r="C21" s="11">
        <v>118</v>
      </c>
      <c r="D21" s="8">
        <v>0.7</v>
      </c>
      <c r="E21" s="11">
        <v>0</v>
      </c>
      <c r="F21" s="11">
        <v>0</v>
      </c>
    </row>
    <row r="22" spans="1:6" x14ac:dyDescent="0.25">
      <c r="A22" t="s">
        <v>106</v>
      </c>
      <c r="B22" t="s">
        <v>107</v>
      </c>
      <c r="C22" s="11">
        <v>118</v>
      </c>
      <c r="D22" s="8">
        <v>0.7</v>
      </c>
      <c r="E22" s="11">
        <v>0</v>
      </c>
      <c r="F22" s="11">
        <v>0</v>
      </c>
    </row>
    <row r="23" spans="1:6" x14ac:dyDescent="0.25">
      <c r="A23" t="s">
        <v>106</v>
      </c>
      <c r="B23" t="s">
        <v>107</v>
      </c>
      <c r="C23" s="11">
        <v>118</v>
      </c>
      <c r="D23" s="8">
        <v>0.7</v>
      </c>
      <c r="E23" s="11">
        <v>0</v>
      </c>
      <c r="F23" s="11">
        <v>0</v>
      </c>
    </row>
    <row r="24" spans="1:6" x14ac:dyDescent="0.25">
      <c r="A24" t="s">
        <v>106</v>
      </c>
      <c r="B24" t="s">
        <v>107</v>
      </c>
      <c r="C24" s="11">
        <v>118</v>
      </c>
      <c r="D24" s="8">
        <v>0.7</v>
      </c>
      <c r="E24" s="11">
        <v>0</v>
      </c>
      <c r="F24" s="11">
        <v>0</v>
      </c>
    </row>
    <row r="25" spans="1:6" x14ac:dyDescent="0.25">
      <c r="A25" t="s">
        <v>106</v>
      </c>
      <c r="B25" t="s">
        <v>107</v>
      </c>
      <c r="C25" s="11">
        <v>118</v>
      </c>
      <c r="D25" s="8">
        <v>0.7</v>
      </c>
      <c r="E25" s="11">
        <v>0</v>
      </c>
      <c r="F25" s="11">
        <v>0</v>
      </c>
    </row>
    <row r="26" spans="1:6" x14ac:dyDescent="0.25">
      <c r="A26" t="s">
        <v>106</v>
      </c>
      <c r="B26" t="s">
        <v>107</v>
      </c>
      <c r="C26" s="11">
        <v>118</v>
      </c>
      <c r="D26" s="8">
        <v>0.7</v>
      </c>
      <c r="E26" s="11">
        <v>0</v>
      </c>
      <c r="F26" s="11">
        <v>0</v>
      </c>
    </row>
    <row r="27" spans="1:6" x14ac:dyDescent="0.25">
      <c r="A27" t="s">
        <v>106</v>
      </c>
      <c r="B27" t="s">
        <v>107</v>
      </c>
      <c r="C27" s="11">
        <v>118</v>
      </c>
      <c r="D27" s="8">
        <v>0.7</v>
      </c>
      <c r="E27" s="11">
        <v>0</v>
      </c>
      <c r="F27" s="11">
        <v>0</v>
      </c>
    </row>
    <row r="28" spans="1:6" x14ac:dyDescent="0.25">
      <c r="A28" t="s">
        <v>106</v>
      </c>
      <c r="B28" t="s">
        <v>107</v>
      </c>
      <c r="C28" s="11">
        <v>118</v>
      </c>
      <c r="D28" s="8">
        <v>0.7</v>
      </c>
      <c r="E28" s="11">
        <v>0</v>
      </c>
      <c r="F28" s="11">
        <v>0</v>
      </c>
    </row>
    <row r="29" spans="1:6" x14ac:dyDescent="0.25">
      <c r="A29" t="s">
        <v>106</v>
      </c>
      <c r="B29" t="s">
        <v>107</v>
      </c>
      <c r="C29" s="11">
        <v>118</v>
      </c>
      <c r="D29" s="8">
        <v>0.7</v>
      </c>
      <c r="E29" s="11">
        <v>0</v>
      </c>
      <c r="F29" s="11">
        <v>0</v>
      </c>
    </row>
    <row r="30" spans="1:6" x14ac:dyDescent="0.25">
      <c r="A30" t="s">
        <v>108</v>
      </c>
      <c r="B30" t="s">
        <v>107</v>
      </c>
      <c r="C30" s="11">
        <v>152</v>
      </c>
      <c r="D30" s="8">
        <v>0.7</v>
      </c>
      <c r="E30" s="11">
        <v>0</v>
      </c>
      <c r="F30" s="11">
        <v>0</v>
      </c>
    </row>
    <row r="31" spans="1:6" x14ac:dyDescent="0.25">
      <c r="A31" t="s">
        <v>108</v>
      </c>
      <c r="B31" t="s">
        <v>107</v>
      </c>
      <c r="C31" s="11">
        <v>152</v>
      </c>
      <c r="D31" s="8">
        <v>0.7</v>
      </c>
      <c r="E31" s="11">
        <v>0</v>
      </c>
      <c r="F31" s="11">
        <v>0</v>
      </c>
    </row>
    <row r="32" spans="1:6" x14ac:dyDescent="0.25">
      <c r="A32" t="s">
        <v>108</v>
      </c>
      <c r="B32" t="s">
        <v>107</v>
      </c>
      <c r="C32" s="11">
        <v>152</v>
      </c>
      <c r="D32" s="8">
        <v>0.7</v>
      </c>
      <c r="E32" s="11">
        <v>0</v>
      </c>
      <c r="F32" s="11">
        <v>0</v>
      </c>
    </row>
    <row r="33" spans="1:6" x14ac:dyDescent="0.25">
      <c r="A33" t="s">
        <v>108</v>
      </c>
      <c r="B33" t="s">
        <v>107</v>
      </c>
      <c r="C33" s="11">
        <v>152</v>
      </c>
      <c r="D33" s="8">
        <v>0.7</v>
      </c>
      <c r="E33" s="11">
        <v>0</v>
      </c>
      <c r="F33" s="11">
        <v>0</v>
      </c>
    </row>
    <row r="34" spans="1:6" x14ac:dyDescent="0.25">
      <c r="A34" t="s">
        <v>108</v>
      </c>
      <c r="B34" t="s">
        <v>107</v>
      </c>
      <c r="C34" s="11">
        <v>152</v>
      </c>
      <c r="D34" s="8">
        <v>0.7</v>
      </c>
      <c r="E34" s="11">
        <v>0</v>
      </c>
      <c r="F34" s="11">
        <v>0</v>
      </c>
    </row>
    <row r="35" spans="1:6" x14ac:dyDescent="0.25">
      <c r="A35" t="s">
        <v>108</v>
      </c>
      <c r="B35" t="s">
        <v>107</v>
      </c>
      <c r="C35" s="11">
        <v>152</v>
      </c>
      <c r="D35" s="8">
        <v>0.7</v>
      </c>
      <c r="E35" s="11">
        <v>0</v>
      </c>
      <c r="F35" s="11">
        <v>0</v>
      </c>
    </row>
    <row r="37" spans="1:2" x14ac:dyDescent="0.25">
      <c r="A37" t="s">
        <v>109</v>
      </c>
      <c r="B37" s="4">
        <f>COUNTIF(B2:B35,"STR")</f>
        <v>34</v>
      </c>
    </row>
    <row r="38" spans="1:2" x14ac:dyDescent="0.25">
      <c r="A38" t="s">
        <v>110</v>
      </c>
      <c r="B38" s="5">
        <f>SUMPRODUCT(C2:C35,D2:D35,--(B2:B35="STR"))/SUMPRODUCT(D2:D35,--(B2:B35="STR"))</f>
        <v>124.00000000000004</v>
      </c>
    </row>
    <row r="39" spans="1:2" x14ac:dyDescent="0.25">
      <c r="A39" t="s">
        <v>111</v>
      </c>
      <c r="B39" s="5">
        <f>SUMPRODUCT(365*D2:D35/alos,E2:E35/(1+iva),--(B2:B35="STR"))</f>
        <v>0</v>
      </c>
    </row>
    <row r="40" spans="1:2" x14ac:dyDescent="0.25">
      <c r="A40" t="s">
        <v>112</v>
      </c>
      <c r="B40" s="5">
        <f>SUMPRODUCT(F2:F35,--(B2:B35&lt;&gt;"STR"),--(B2:B35&lt;&gt;"MTR"))*12</f>
        <v>0</v>
      </c>
    </row>
    <row r="41" spans="1:2" x14ac:dyDescent="0.25">
      <c r="A41" t="s">
        <v>113</v>
      </c>
      <c r="B41" s="4">
        <f>COUNTIF(B2:B35,"MTR")</f>
        <v>0</v>
      </c>
    </row>
    <row r="42" spans="1:2" x14ac:dyDescent="0.25">
      <c r="A42" t="s">
        <v>114</v>
      </c>
      <c r="B42" s="4">
        <f>unit_n+mtr_n</f>
        <v>34</v>
      </c>
    </row>
    <row r="43" spans="1:2" x14ac:dyDescent="0.25">
      <c r="A43" t="s">
        <v>115</v>
      </c>
      <c r="B43" s="5">
        <f>SUMPRODUCT(F2:F35,--(B2:B35="MTR"))*12</f>
        <v>0</v>
      </c>
    </row>
    <row r="44" spans="1:2" x14ac:dyDescent="0.25">
      <c r="A44" t="s">
        <v>116</v>
      </c>
      <c r="B44" s="12">
        <f>SUMPRODUCT(D2:D35,--(B2:B35="STR"))*365/alos</f>
        <v>3474.799999999998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117</v>
      </c>
    </row>
    <row r="2" spans="1:2" x14ac:dyDescent="0.25">
      <c r="A2" t="s">
        <v>5</v>
      </c>
      <c r="B2" s="11">
        <v>4900000</v>
      </c>
    </row>
    <row r="3" spans="1:2" x14ac:dyDescent="0.25">
      <c r="A3" t="s">
        <v>118</v>
      </c>
      <c r="B3" s="9">
        <v>34</v>
      </c>
    </row>
    <row r="4" spans="1:2" x14ac:dyDescent="0.25">
      <c r="A4" t="s">
        <v>119</v>
      </c>
      <c r="B4" s="8">
        <v>0.0075</v>
      </c>
    </row>
    <row r="5" spans="1:2" x14ac:dyDescent="0.25">
      <c r="A5" t="s">
        <v>120</v>
      </c>
      <c r="B5" s="8">
        <v>0.06</v>
      </c>
    </row>
    <row r="6" spans="1:2" x14ac:dyDescent="0.25">
      <c r="A6" t="s">
        <v>121</v>
      </c>
      <c r="B6" s="8">
        <v>0.03</v>
      </c>
    </row>
    <row r="7" spans="1:2" x14ac:dyDescent="0.25">
      <c r="A7" t="s">
        <v>122</v>
      </c>
      <c r="B7" s="8">
        <v>0.005</v>
      </c>
    </row>
    <row r="8" spans="1:2" x14ac:dyDescent="0.25">
      <c r="A8" t="s">
        <v>123</v>
      </c>
      <c r="B8" s="11">
        <v>1800</v>
      </c>
    </row>
    <row r="9" spans="1:2" x14ac:dyDescent="0.25">
      <c r="A9" t="s">
        <v>124</v>
      </c>
      <c r="B9" s="11">
        <v>900</v>
      </c>
    </row>
    <row r="10" spans="1:2" x14ac:dyDescent="0.25">
      <c r="A10" t="s">
        <v>125</v>
      </c>
      <c r="B10" s="11">
        <v>3500</v>
      </c>
    </row>
    <row r="11" spans="1:2" x14ac:dyDescent="0.25">
      <c r="A11" t="s">
        <v>126</v>
      </c>
      <c r="B11" s="11">
        <v>2500</v>
      </c>
    </row>
    <row r="12" spans="1:2" x14ac:dyDescent="0.25">
      <c r="A12" t="s">
        <v>127</v>
      </c>
      <c r="B12" s="11">
        <v>0</v>
      </c>
    </row>
    <row r="13" spans="1:2" x14ac:dyDescent="0.25">
      <c r="A13" t="s">
        <v>128</v>
      </c>
      <c r="B13" s="11">
        <v>2000</v>
      </c>
    </row>
    <row r="14" spans="1:2" x14ac:dyDescent="0.25">
      <c r="A14" t="s">
        <v>129</v>
      </c>
      <c r="B14" s="11">
        <v>100000</v>
      </c>
    </row>
    <row r="15" spans="1:2" x14ac:dyDescent="0.25">
      <c r="A15" t="s">
        <v>130</v>
      </c>
      <c r="B15" s="11">
        <v>0</v>
      </c>
    </row>
    <row r="16" spans="1:2" x14ac:dyDescent="0.25">
      <c r="A16" t="s">
        <v>131</v>
      </c>
      <c r="B16" s="8">
        <v>0</v>
      </c>
    </row>
    <row r="17" spans="1:2" x14ac:dyDescent="0.25">
      <c r="A17" t="s">
        <v>132</v>
      </c>
      <c r="B17" s="11">
        <v>8176.470588235294</v>
      </c>
    </row>
    <row r="18" spans="1:2" x14ac:dyDescent="0.25">
      <c r="A18" t="s">
        <v>133</v>
      </c>
      <c r="B18" s="11">
        <v>1400</v>
      </c>
    </row>
    <row r="19" spans="1:2" x14ac:dyDescent="0.25">
      <c r="A19" t="s">
        <v>134</v>
      </c>
      <c r="B19" s="11">
        <v>44000</v>
      </c>
    </row>
    <row r="20" spans="1:2" x14ac:dyDescent="0.25">
      <c r="A20" t="s">
        <v>135</v>
      </c>
      <c r="B20" s="11">
        <v>48000</v>
      </c>
    </row>
    <row r="21" spans="1:2" x14ac:dyDescent="0.25">
      <c r="A21" t="s">
        <v>136</v>
      </c>
      <c r="B21" s="8">
        <v>0.02</v>
      </c>
    </row>
    <row r="23" spans="1:2" x14ac:dyDescent="0.25">
      <c r="A23" t="s">
        <v>137</v>
      </c>
      <c r="B23" s="5">
        <f>ajd_pct*price+itp_pct*price+broker_pct*price+dd_pct*price+notary_f+registry_f+spv_f+taxadv_f</f>
        <v>510950</v>
      </c>
    </row>
    <row r="24" spans="1:2" x14ac:dyDescent="0.25">
      <c r="A24" t="s">
        <v>138</v>
      </c>
      <c r="B24" s="5">
        <f>(reno_u*(units_c-1)+appl_u*units_c+common_f+deep_f)*(1+conting_pct)</f>
        <v>168000</v>
      </c>
    </row>
    <row r="25" spans="1:2" x14ac:dyDescent="0.25">
      <c r="A25" t="s">
        <v>139</v>
      </c>
      <c r="B25" s="5">
        <f>(ffe_u+itl_u)*units_c</f>
        <v>325600</v>
      </c>
    </row>
    <row r="26" spans="1:2" x14ac:dyDescent="0.25">
      <c r="A26" t="s">
        <v>140</v>
      </c>
      <c r="B26" s="5">
        <f>permits_f+arch_f</f>
        <v>92000</v>
      </c>
    </row>
    <row r="27" spans="1:2" x14ac:dyDescent="0.25">
      <c r="A27" t="s">
        <v>141</v>
      </c>
      <c r="B27" s="5">
        <f>price+B23+B24+B25+B26</f>
        <v>5996550</v>
      </c>
    </row>
    <row r="28" spans="1:2" x14ac:dyDescent="0.25">
      <c r="A28" t="s">
        <v>142</v>
      </c>
      <c r="B28" s="5">
        <f>gp_fee_pct*cost_base/(1-gp_fee_pct)</f>
        <v>122378.57142857143</v>
      </c>
    </row>
    <row r="29" spans="1:2" x14ac:dyDescent="0.25">
      <c r="A29" s="3" t="s">
        <v>143</v>
      </c>
      <c r="B29" s="5">
        <f>cost_base+B28</f>
        <v>6118928.571428572</v>
      </c>
    </row>
    <row r="30" spans="1:1" x14ac:dyDescent="0.25">
      <c r="A30" s="3" t="s">
        <v>144</v>
      </c>
    </row>
    <row r="31" spans="1:2" x14ac:dyDescent="0.25">
      <c r="A31" t="s">
        <v>145</v>
      </c>
      <c r="B31" s="5">
        <f>0*price</f>
        <v>0</v>
      </c>
    </row>
    <row r="32" spans="1:2" x14ac:dyDescent="0.25">
      <c r="A32" t="s">
        <v>146</v>
      </c>
      <c r="B32" s="5">
        <f>vat_works*B24</f>
        <v>35280</v>
      </c>
    </row>
    <row r="33" spans="1:2" x14ac:dyDescent="0.25">
      <c r="A33" t="s">
        <v>147</v>
      </c>
      <c r="B33" s="5">
        <f>vat_ffe*B25</f>
        <v>68376</v>
      </c>
    </row>
    <row r="34" spans="1:2" x14ac:dyDescent="0.25">
      <c r="A34" t="s">
        <v>148</v>
      </c>
      <c r="B34" s="5">
        <f>vat_soft*B26</f>
        <v>19320</v>
      </c>
    </row>
    <row r="35" spans="1:2" x14ac:dyDescent="0.25">
      <c r="A35" t="s">
        <v>149</v>
      </c>
      <c r="B35" s="5">
        <f>vat_fees*(B23-ajd_pct*price-itp_pct*price)</f>
        <v>37842</v>
      </c>
    </row>
    <row r="36" spans="1:2" x14ac:dyDescent="0.25">
      <c r="A36" s="3" t="s">
        <v>150</v>
      </c>
      <c r="B36" s="5">
        <f>SUM(B31:B35)</f>
        <v>160818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3" max="9" width="12" customWidth="1"/>
  </cols>
  <sheetData>
    <row r="1" spans="1:1" x14ac:dyDescent="0.25">
      <c r="A1" s="2" t="s">
        <v>151</v>
      </c>
    </row>
    <row r="2" spans="3:9" x14ac:dyDescent="0.25">
      <c r="C2" s="3" t="s">
        <v>152</v>
      </c>
      <c r="D2" s="3" t="s">
        <v>153</v>
      </c>
      <c r="E2" s="3" t="s">
        <v>154</v>
      </c>
      <c r="F2" s="3" t="s">
        <v>155</v>
      </c>
      <c r="G2" s="3" t="s">
        <v>156</v>
      </c>
      <c r="H2" s="3" t="s">
        <v>157</v>
      </c>
      <c r="I2" s="3" t="s">
        <v>158</v>
      </c>
    </row>
    <row r="3" spans="1:9" x14ac:dyDescent="0.25">
      <c r="A3" t="s">
        <v>103</v>
      </c>
      <c r="C3" s="6">
        <f>occ_y1</f>
        <v>0.76</v>
      </c>
      <c r="D3" s="6">
        <f>occ_y2</f>
        <v>0.79</v>
      </c>
      <c r="E3" s="6">
        <f>occ_stab</f>
        <v>0.82</v>
      </c>
      <c r="F3" s="6">
        <f>occ_stab</f>
        <v>0.82</v>
      </c>
      <c r="G3" s="6">
        <f>occ_stab</f>
        <v>0.82</v>
      </c>
      <c r="H3" s="6">
        <f>occ_stab</f>
        <v>0.82</v>
      </c>
      <c r="I3" s="6">
        <f>occ_stab</f>
        <v>0.82</v>
      </c>
    </row>
    <row r="4" spans="1:9" x14ac:dyDescent="0.25">
      <c r="A4" t="s">
        <v>159</v>
      </c>
      <c r="C4" s="5">
        <f>blended_incl/(1+iva)*adr_y1f</f>
        <v>107.09090909090912</v>
      </c>
      <c r="D4" s="5">
        <f>blended_incl/(1+iva)</f>
        <v>112.72727272727276</v>
      </c>
      <c r="E4" s="5">
        <f>D4*(1+adr_infl)</f>
        <v>114.98181818181821</v>
      </c>
      <c r="F4" s="5">
        <f>E4*(1+adr_infl)</f>
        <v>117.28145454545458</v>
      </c>
      <c r="G4" s="5">
        <f>F4*(1+adr_infl)</f>
        <v>119.62708363636368</v>
      </c>
      <c r="H4" s="5">
        <f>G4*(1+adr_infl)</f>
        <v>122.01962530909096</v>
      </c>
      <c r="I4" s="5">
        <f>H4*(1+adr_infl)</f>
        <v>124.46001781527278</v>
      </c>
    </row>
    <row r="5" spans="1:9" x14ac:dyDescent="0.25">
      <c r="A5" t="s">
        <v>160</v>
      </c>
      <c r="C5" s="5">
        <f>C3*365*C4*unit_n</f>
        <v>1010038.6181818184</v>
      </c>
      <c r="D5" s="5">
        <f>D3*365*D4*unit_n</f>
        <v>1105166.9090909094</v>
      </c>
      <c r="E5" s="5">
        <f>E3*365*E4*unit_n</f>
        <v>1170077.9781818185</v>
      </c>
      <c r="F5" s="5">
        <f>F3*365*F4*unit_n</f>
        <v>1193479.5377454548</v>
      </c>
      <c r="G5" s="5">
        <f>G3*365*G4*unit_n</f>
        <v>1217349.128500364</v>
      </c>
      <c r="H5" s="5">
        <f>H3*365*H4*unit_n</f>
        <v>1241696.1110703712</v>
      </c>
      <c r="I5" s="5">
        <f>I3*365*I4*unit_n</f>
        <v>1266530.0332917788</v>
      </c>
    </row>
    <row r="6" spans="1:9" x14ac:dyDescent="0.25">
      <c r="A6" t="s">
        <v>161</v>
      </c>
      <c r="C6" s="5">
        <f>clean_base*C3/occ_stab</f>
        <v>0</v>
      </c>
      <c r="D6" s="5">
        <f>clean_base*D3/occ_stab</f>
        <v>0</v>
      </c>
      <c r="E6" s="5">
        <f>clean_base*E3/occ_stab</f>
        <v>0</v>
      </c>
      <c r="F6" s="5">
        <f>clean_base*F3/occ_stab</f>
        <v>0</v>
      </c>
      <c r="G6" s="5">
        <f>clean_base*G3/occ_stab</f>
        <v>0</v>
      </c>
      <c r="H6" s="5">
        <f>clean_base*H3/occ_stab</f>
        <v>0</v>
      </c>
      <c r="I6" s="5">
        <f>clean_base*I3/occ_stab</f>
        <v>0</v>
      </c>
    </row>
    <row r="7" spans="1:9" x14ac:dyDescent="0.25">
      <c r="A7" t="s">
        <v>162</v>
      </c>
      <c r="C7" s="5">
        <f>mtr_rent_a*(1+mtr_rinfl)^MAX(0,1-2)</f>
        <v>0</v>
      </c>
      <c r="D7" s="5">
        <f>mtr_rent_a*(1+mtr_rinfl)^MAX(0,2-2)</f>
        <v>0</v>
      </c>
      <c r="E7" s="5">
        <f>mtr_rent_a*(1+mtr_rinfl)^MAX(0,3-2)</f>
        <v>0</v>
      </c>
      <c r="F7" s="5">
        <f>mtr_rent_a*(1+mtr_rinfl)^MAX(0,4-2)</f>
        <v>0</v>
      </c>
      <c r="G7" s="5">
        <f>mtr_rent_a*(1+mtr_rinfl)^MAX(0,5-2)</f>
        <v>0</v>
      </c>
      <c r="H7" s="5">
        <f>mtr_rent_a*(1+mtr_rinfl)^MAX(0,6-2)</f>
        <v>0</v>
      </c>
      <c r="I7" s="5">
        <f>mtr_rent_a*(1+mtr_rinfl)^MAX(0,7-2)</f>
        <v>0</v>
      </c>
    </row>
    <row r="8" spans="1:9" x14ac:dyDescent="0.25">
      <c r="A8" t="s">
        <v>163</v>
      </c>
      <c r="C8" s="5">
        <f>(anc_a+anc_units)*(1+cost_infl)^MAX(0,1-2)</f>
        <v>0</v>
      </c>
      <c r="D8" s="5">
        <f>(anc_a+anc_units)*(1+cost_infl)^MAX(0,2-2)</f>
        <v>0</v>
      </c>
      <c r="E8" s="5">
        <f>(anc_a+anc_units)*(1+cost_infl)^MAX(0,3-2)</f>
        <v>0</v>
      </c>
      <c r="F8" s="5">
        <f>(anc_a+anc_units)*(1+cost_infl)^MAX(0,4-2)</f>
        <v>0</v>
      </c>
      <c r="G8" s="5">
        <f>(anc_a+anc_units)*(1+cost_infl)^MAX(0,5-2)</f>
        <v>0</v>
      </c>
      <c r="H8" s="5">
        <f>(anc_a+anc_units)*(1+cost_infl)^MAX(0,6-2)</f>
        <v>0</v>
      </c>
      <c r="I8" s="5">
        <f>(anc_a+anc_units)*(1+cost_infl)^MAX(0,7-2)</f>
        <v>0</v>
      </c>
    </row>
    <row r="9" spans="1:9" x14ac:dyDescent="0.25">
      <c r="A9" s="3" t="s">
        <v>164</v>
      </c>
      <c r="C9" s="5">
        <f>C5+C6+C7+C8</f>
        <v>1010038.6181818184</v>
      </c>
      <c r="D9" s="5">
        <f>D5+D6+D7+D8</f>
        <v>1105166.9090909094</v>
      </c>
      <c r="E9" s="5">
        <f>E5+E6+E7+E8</f>
        <v>1170077.9781818185</v>
      </c>
      <c r="F9" s="5">
        <f>F5+F6+F7+F8</f>
        <v>1193479.5377454548</v>
      </c>
      <c r="G9" s="5">
        <f>G5+G6+G7+G8</f>
        <v>1217349.128500364</v>
      </c>
      <c r="H9" s="5">
        <f>H5+H6+H7+H8</f>
        <v>1241696.1110703712</v>
      </c>
      <c r="I9" s="5">
        <f>I5+I6+I7+I8</f>
        <v>1266530.0332917788</v>
      </c>
    </row>
    <row r="10" spans="1:9" x14ac:dyDescent="0.25">
      <c r="A10" t="s">
        <v>165</v>
      </c>
      <c r="C10" s="5">
        <f>-(C5+C6)*comm_pct</f>
        <v>-171706.56509090913</v>
      </c>
      <c r="D10" s="5">
        <f>-(D5+D6)*comm_pct</f>
        <v>-187878.3745454546</v>
      </c>
      <c r="E10" s="5">
        <f>-(E5+E6)*comm_pct</f>
        <v>-198913.25629090916</v>
      </c>
      <c r="F10" s="5">
        <f>-(F5+F6)*comm_pct</f>
        <v>-202891.52141672734</v>
      </c>
      <c r="G10" s="5">
        <f>-(G5+G6)*comm_pct</f>
        <v>-206949.3518450619</v>
      </c>
      <c r="H10" s="5">
        <f>-(H5+H6)*comm_pct</f>
        <v>-211088.33888196314</v>
      </c>
      <c r="I10" s="5">
        <f>-(I5+I6)*comm_pct</f>
        <v>-215310.1056596024</v>
      </c>
    </row>
    <row r="11" spans="1:9" x14ac:dyDescent="0.25">
      <c r="A11" t="s">
        <v>166</v>
      </c>
      <c r="C11" s="5">
        <f>-turn_base*C3/occ_stab*hk_hours*hk_rate*C34</f>
        <v>-32608.031707317055</v>
      </c>
      <c r="D11" s="5">
        <f>-turn_base*D3/occ_stab*hk_hours*hk_rate*D34</f>
        <v>-34573.0946707317</v>
      </c>
      <c r="E11" s="5">
        <f>-turn_base*E3/occ_stab*hk_hours*hk_rate*E34</f>
        <v>-36603.71693999998</v>
      </c>
      <c r="F11" s="5">
        <f>-turn_base*F3/occ_stab*hk_hours*hk_rate*F34</f>
        <v>-37335.79127879998</v>
      </c>
      <c r="G11" s="5">
        <f>-turn_base*G3/occ_stab*hk_hours*hk_rate*G34</f>
        <v>-38082.507104375974</v>
      </c>
      <c r="H11" s="5">
        <f>-turn_base*H3/occ_stab*hk_hours*hk_rate*H34</f>
        <v>-38844.157246463496</v>
      </c>
      <c r="I11" s="5">
        <f>-turn_base*I3/occ_stab*hk_hours*hk_rate*I34</f>
        <v>-39621.040391392766</v>
      </c>
    </row>
    <row r="12" spans="1:9" x14ac:dyDescent="0.25">
      <c r="A12" t="s">
        <v>167</v>
      </c>
      <c r="C12" s="5">
        <f>-turn_base*C3/occ_stab*linen_t*C34</f>
        <v>-16102.731707317063</v>
      </c>
      <c r="D12" s="5">
        <f>-turn_base*D3/occ_stab*linen_t*D34</f>
        <v>-17073.1331707317</v>
      </c>
      <c r="E12" s="5">
        <f>-turn_base*E3/occ_stab*linen_t*E34</f>
        <v>-18075.909599999988</v>
      </c>
      <c r="F12" s="5">
        <f>-turn_base*F3/occ_stab*linen_t*F34</f>
        <v>-18437.42779199999</v>
      </c>
      <c r="G12" s="5">
        <f>-turn_base*G3/occ_stab*linen_t*G34</f>
        <v>-18806.176347839988</v>
      </c>
      <c r="H12" s="5">
        <f>-turn_base*H3/occ_stab*linen_t*H34</f>
        <v>-19182.299874796787</v>
      </c>
      <c r="I12" s="5">
        <f>-turn_base*I3/occ_stab*linen_t*I34</f>
        <v>-19565.945872292727</v>
      </c>
    </row>
    <row r="13" spans="1:9" x14ac:dyDescent="0.25">
      <c r="A13" t="s">
        <v>168</v>
      </c>
      <c r="C13" s="5">
        <f>-turn_base*C3/occ_stab*amen_t*C34</f>
        <v>-9661.639024390239</v>
      </c>
      <c r="D13" s="5">
        <f>-turn_base*D3/occ_stab*amen_t*D34</f>
        <v>-10243.879902439021</v>
      </c>
      <c r="E13" s="5">
        <f>-turn_base*E3/occ_stab*amen_t*E34</f>
        <v>-10845.545759999994</v>
      </c>
      <c r="F13" s="5">
        <f>-turn_base*F3/occ_stab*amen_t*F34</f>
        <v>-11062.456675199996</v>
      </c>
      <c r="G13" s="5">
        <f>-turn_base*G3/occ_stab*amen_t*G34</f>
        <v>-11283.705808703993</v>
      </c>
      <c r="H13" s="5">
        <f>-turn_base*H3/occ_stab*amen_t*H34</f>
        <v>-11509.379924878074</v>
      </c>
      <c r="I13" s="5">
        <f>-turn_base*I3/occ_stab*amen_t*I34</f>
        <v>-11739.567523375636</v>
      </c>
    </row>
    <row r="14" spans="1:9" x14ac:dyDescent="0.25">
      <c r="A14" s="3" t="s">
        <v>169</v>
      </c>
      <c r="C14" s="5">
        <f>C10+C11+C12+C13</f>
        <v>-230078.9675299335</v>
      </c>
      <c r="D14" s="5">
        <f>D10+D11+D12+D13</f>
        <v>-249768.48228935702</v>
      </c>
      <c r="E14" s="5">
        <f>E10+E11+E12+E13</f>
        <v>-264438.4285909091</v>
      </c>
      <c r="F14" s="5">
        <f>F10+F11+F12+F13</f>
        <v>-269727.1971627273</v>
      </c>
      <c r="G14" s="5">
        <f>G10+G11+G12+G13</f>
        <v>-275121.74110598187</v>
      </c>
      <c r="H14" s="5">
        <f>H10+H11+H12+H13</f>
        <v>-280624.1759281015</v>
      </c>
      <c r="I14" s="5">
        <f>I10+I11+I12+I13</f>
        <v>-286236.6594466636</v>
      </c>
    </row>
    <row r="15" spans="1:9" x14ac:dyDescent="0.25">
      <c r="A15" t="s">
        <v>170</v>
      </c>
      <c r="C15" s="5">
        <f>-admin_m*12*C34</f>
        <v>-2400</v>
      </c>
      <c r="D15" s="5">
        <f>-admin_m*12*D34</f>
        <v>-2448</v>
      </c>
      <c r="E15" s="5">
        <f>-admin_m*12*E34</f>
        <v>-2496.96</v>
      </c>
      <c r="F15" s="5">
        <f>-admin_m*12*F34</f>
        <v>-2546.8992000000003</v>
      </c>
      <c r="G15" s="5">
        <f>-admin_m*12*G34</f>
        <v>-2597.837184</v>
      </c>
      <c r="H15" s="5">
        <f>-admin_m*12*H34</f>
        <v>-2649.7939276800003</v>
      </c>
      <c r="I15" s="5">
        <f>-admin_m*12*I34</f>
        <v>-2702.7898062336003</v>
      </c>
    </row>
    <row r="16" spans="1:9" x14ac:dyDescent="0.25">
      <c r="A16" t="s">
        <v>171</v>
      </c>
      <c r="C16" s="5">
        <f>-(unit_n*util_m+mtr_n*mtr_util_m+cost_unit_n*commu_m)*12*C34</f>
        <v>-55896</v>
      </c>
      <c r="D16" s="5">
        <f>-(unit_n*util_m+mtr_n*mtr_util_m+cost_unit_n*commu_m)*12*D34</f>
        <v>-57013.92</v>
      </c>
      <c r="E16" s="5">
        <f>-(unit_n*util_m+mtr_n*mtr_util_m+cost_unit_n*commu_m)*12*E34</f>
        <v>-58154.1984</v>
      </c>
      <c r="F16" s="5">
        <f>-(unit_n*util_m+mtr_n*mtr_util_m+cost_unit_n*commu_m)*12*F34</f>
        <v>-59317.28236800001</v>
      </c>
      <c r="G16" s="5">
        <f>-(unit_n*util_m+mtr_n*mtr_util_m+cost_unit_n*commu_m)*12*G34</f>
        <v>-60503.62801536</v>
      </c>
      <c r="H16" s="5">
        <f>-(unit_n*util_m+mtr_n*mtr_util_m+cost_unit_n*commu_m)*12*H34</f>
        <v>-61713.7005756672</v>
      </c>
      <c r="I16" s="5">
        <f>-(unit_n*util_m+mtr_n*mtr_util_m+cost_unit_n*commu_m)*12*I34</f>
        <v>-62947.97458718055</v>
      </c>
    </row>
    <row r="17" spans="1:9" x14ac:dyDescent="0.25">
      <c r="A17" t="s">
        <v>172</v>
      </c>
      <c r="C17" s="5">
        <f>-C9*maint_pct</f>
        <v>-12120.463418181822</v>
      </c>
      <c r="D17" s="5">
        <f>-D9*maint_pct</f>
        <v>-13262.002909090914</v>
      </c>
      <c r="E17" s="5">
        <f>-E9*maint_pct</f>
        <v>-14040.935738181823</v>
      </c>
      <c r="F17" s="5">
        <f>-F9*maint_pct</f>
        <v>-14321.754452945457</v>
      </c>
      <c r="G17" s="5">
        <f>-G9*maint_pct</f>
        <v>-14608.18954200437</v>
      </c>
      <c r="H17" s="5">
        <f>-H9*maint_pct</f>
        <v>-14900.353332844456</v>
      </c>
      <c r="I17" s="5">
        <f>-I9*maint_pct</f>
        <v>-15198.360399501345</v>
      </c>
    </row>
    <row r="18" spans="1:9" x14ac:dyDescent="0.25">
      <c r="A18" t="s">
        <v>173</v>
      </c>
      <c r="C18" s="5">
        <f>-cost_unit_n*12*it_m*C34</f>
        <v>-16320</v>
      </c>
      <c r="D18" s="5">
        <f>-cost_unit_n*12*it_m*D34</f>
        <v>-16646.4</v>
      </c>
      <c r="E18" s="5">
        <f>-cost_unit_n*12*it_m*E34</f>
        <v>-16979.328</v>
      </c>
      <c r="F18" s="5">
        <f>-cost_unit_n*12*it_m*F34</f>
        <v>-17318.91456</v>
      </c>
      <c r="G18" s="5">
        <f>-cost_unit_n*12*it_m*G34</f>
        <v>-17665.2928512</v>
      </c>
      <c r="H18" s="5">
        <f>-cost_unit_n*12*it_m*H34</f>
        <v>-18018.598708224</v>
      </c>
      <c r="I18" s="5">
        <f>-cost_unit_n*12*it_m*I34</f>
        <v>-18378.97068238848</v>
      </c>
    </row>
    <row r="19" spans="1:9" x14ac:dyDescent="0.25">
      <c r="A19" t="s">
        <v>174</v>
      </c>
      <c r="C19" s="5">
        <f>-15000*C34</f>
        <v>-15000</v>
      </c>
      <c r="D19" s="5">
        <f>-15000*D34</f>
        <v>-15300</v>
      </c>
      <c r="E19" s="5">
        <f>-15000*E34</f>
        <v>-15606</v>
      </c>
      <c r="F19" s="5">
        <f>-15000*F34</f>
        <v>-15918.120000000003</v>
      </c>
      <c r="G19" s="5">
        <f>-15000*G34</f>
        <v>-16236.482399999999</v>
      </c>
      <c r="H19" s="5">
        <f>-15000*H34</f>
        <v>-16561.212048</v>
      </c>
      <c r="I19" s="5">
        <f>-15000*I34</f>
        <v>-16892.43628896</v>
      </c>
    </row>
    <row r="20" spans="1:9" x14ac:dyDescent="0.25">
      <c r="A20" t="s">
        <v>175</v>
      </c>
      <c r="C20" s="5">
        <f>-4*cost_unit_n*12*C34</f>
        <v>-1632</v>
      </c>
      <c r="D20" s="5">
        <f>-4*cost_unit_n*12*D34</f>
        <v>-1664.64</v>
      </c>
      <c r="E20" s="5">
        <f>-4*cost_unit_n*12*E34</f>
        <v>-1697.9328</v>
      </c>
      <c r="F20" s="5">
        <f>-4*cost_unit_n*12*F34</f>
        <v>-1731.8914560000003</v>
      </c>
      <c r="G20" s="5">
        <f>-4*cost_unit_n*12*G34</f>
        <v>-1766.52928512</v>
      </c>
      <c r="H20" s="5">
        <f>-4*cost_unit_n*12*H34</f>
        <v>-1801.8598708224001</v>
      </c>
      <c r="I20" s="5">
        <f>-4*cost_unit_n*12*I34</f>
        <v>-1837.897068238848</v>
      </c>
    </row>
    <row r="21" spans="1:9" x14ac:dyDescent="0.25">
      <c r="A21" s="3" t="s">
        <v>176</v>
      </c>
      <c r="C21" s="5">
        <f>C15+C16+C17+C18+C19+C20</f>
        <v>-103368.46341818183</v>
      </c>
      <c r="D21" s="5">
        <f>D15+D16+D17+D18+D19+D20</f>
        <v>-106334.9629090909</v>
      </c>
      <c r="E21" s="5">
        <f>E15+E16+E17+E18+E19+E20</f>
        <v>-108975.35493818183</v>
      </c>
      <c r="F21" s="5">
        <f>F15+F16+F17+F18+F19+F20</f>
        <v>-111154.86203694547</v>
      </c>
      <c r="G21" s="5">
        <f>G15+G16+G17+G18+G19+G20</f>
        <v>-113377.95927768436</v>
      </c>
      <c r="H21" s="5">
        <f>H15+H16+H17+H18+H19+H20</f>
        <v>-115645.51846323807</v>
      </c>
      <c r="I21" s="5">
        <f>I15+I16+I17+I18+I19+I20</f>
        <v>-117958.42883250282</v>
      </c>
    </row>
    <row r="22" spans="1:9" x14ac:dyDescent="0.25">
      <c r="A22" s="3" t="s">
        <v>177</v>
      </c>
      <c r="C22" s="5">
        <f>C9+C14+C21</f>
        <v>676591.1872337031</v>
      </c>
      <c r="D22" s="5">
        <f>D9+D14+D21</f>
        <v>749063.4638924614</v>
      </c>
      <c r="E22" s="5">
        <f>E9+E14+E21</f>
        <v>796664.1946527278</v>
      </c>
      <c r="F22" s="5">
        <f>F9+F14+F21</f>
        <v>812597.4785457819</v>
      </c>
      <c r="G22" s="5">
        <f>G9+G14+G21</f>
        <v>828849.4281166977</v>
      </c>
      <c r="H22" s="5">
        <f>H9+H14+H21</f>
        <v>845426.4166790316</v>
      </c>
      <c r="I22" s="5">
        <f>I9+I14+I21</f>
        <v>862334.9450126124</v>
      </c>
    </row>
    <row r="23" spans="1:9" x14ac:dyDescent="0.25">
      <c r="A23" t="s">
        <v>178</v>
      </c>
      <c r="C23" s="5">
        <f>-C9*mgmt_pct</f>
        <v>-156555.98581818186</v>
      </c>
      <c r="D23" s="5">
        <f>-D9*mgmt_pct</f>
        <v>-171300.87090909097</v>
      </c>
      <c r="E23" s="5">
        <f>-E9*mgmt_pct</f>
        <v>-181362.08661818187</v>
      </c>
      <c r="F23" s="5">
        <f>-F9*mgmt_pct</f>
        <v>-184989.3283505455</v>
      </c>
      <c r="G23" s="5">
        <f>-G9*mgmt_pct</f>
        <v>-188689.11491755644</v>
      </c>
      <c r="H23" s="5">
        <f>-H9*mgmt_pct</f>
        <v>-192462.89721590755</v>
      </c>
      <c r="I23" s="5">
        <f>-I9*mgmt_pct</f>
        <v>-196312.1551602257</v>
      </c>
    </row>
    <row r="24" spans="1:9" x14ac:dyDescent="0.25">
      <c r="A24" s="3" t="s">
        <v>179</v>
      </c>
      <c r="C24" s="5">
        <f>C23</f>
        <v>-156555.98581818186</v>
      </c>
      <c r="D24" s="5">
        <f>D23</f>
        <v>-171300.87090909097</v>
      </c>
      <c r="E24" s="5">
        <f>E23</f>
        <v>-181362.08661818187</v>
      </c>
      <c r="F24" s="5">
        <f>F23</f>
        <v>-184989.3283505455</v>
      </c>
      <c r="G24" s="5">
        <f>G23</f>
        <v>-188689.11491755644</v>
      </c>
      <c r="H24" s="5">
        <f>H23</f>
        <v>-192462.89721590755</v>
      </c>
      <c r="I24" s="5">
        <f>I23</f>
        <v>-196312.1551602257</v>
      </c>
    </row>
    <row r="25" spans="1:9" x14ac:dyDescent="0.25">
      <c r="A25" s="3" t="s">
        <v>180</v>
      </c>
      <c r="C25" s="5">
        <f>C22+C24</f>
        <v>520035.20141552127</v>
      </c>
      <c r="D25" s="5">
        <f>D22+D24</f>
        <v>577762.5929833704</v>
      </c>
      <c r="E25" s="5">
        <f>E22+E24</f>
        <v>615302.1080345459</v>
      </c>
      <c r="F25" s="5">
        <f>F22+F24</f>
        <v>627608.1501952364</v>
      </c>
      <c r="G25" s="5">
        <f>G22+G24</f>
        <v>640160.3131991413</v>
      </c>
      <c r="H25" s="5">
        <f>H22+H24</f>
        <v>652963.519463124</v>
      </c>
      <c r="I25" s="5">
        <f>I22+I24</f>
        <v>666022.7898523867</v>
      </c>
    </row>
    <row r="26" spans="1:9" x14ac:dyDescent="0.25">
      <c r="A26" t="s">
        <v>181</v>
      </c>
      <c r="C26" s="5">
        <f>-ibi_a*C34</f>
        <v>-12000</v>
      </c>
      <c r="D26" s="5">
        <f>-ibi_a*D34</f>
        <v>-12240</v>
      </c>
      <c r="E26" s="5">
        <f>-ibi_a*E34</f>
        <v>-12484.8</v>
      </c>
      <c r="F26" s="5">
        <f>-ibi_a*F34</f>
        <v>-12734.496000000001</v>
      </c>
      <c r="G26" s="5">
        <f>-ibi_a*G34</f>
        <v>-12989.18592</v>
      </c>
      <c r="H26" s="5">
        <f>-ibi_a*H34</f>
        <v>-13248.9696384</v>
      </c>
      <c r="I26" s="5">
        <f>-ibi_a*I34</f>
        <v>-13513.949031168</v>
      </c>
    </row>
    <row r="27" spans="1:9" x14ac:dyDescent="0.25">
      <c r="A27" t="s">
        <v>182</v>
      </c>
      <c r="C27" s="5">
        <f>-cost_unit_n*12*ins_m*C34</f>
        <v>-6120</v>
      </c>
      <c r="D27" s="5">
        <f>-cost_unit_n*12*ins_m*D34</f>
        <v>-6242.400000000001</v>
      </c>
      <c r="E27" s="5">
        <f>-cost_unit_n*12*ins_m*E34</f>
        <v>-6367.248</v>
      </c>
      <c r="F27" s="5">
        <f>-cost_unit_n*12*ins_m*F34</f>
        <v>-6494.592960000001</v>
      </c>
      <c r="G27" s="5">
        <f>-cost_unit_n*12*ins_m*G34</f>
        <v>-6624.4848192</v>
      </c>
      <c r="H27" s="5">
        <f>-cost_unit_n*12*ins_m*H34</f>
        <v>-6756.974515584</v>
      </c>
      <c r="I27" s="5">
        <f>-cost_unit_n*12*ins_m*I34</f>
        <v>-6892.114005895681</v>
      </c>
    </row>
    <row r="28" spans="1:9" x14ac:dyDescent="0.25">
      <c r="A28" s="3" t="s">
        <v>183</v>
      </c>
      <c r="C28" s="5">
        <f>C26+C27</f>
        <v>-18120</v>
      </c>
      <c r="D28" s="5">
        <f>D26+D27</f>
        <v>-18482.4</v>
      </c>
      <c r="E28" s="5">
        <f>E26+E27</f>
        <v>-18852.048</v>
      </c>
      <c r="F28" s="5">
        <f>F26+F27</f>
        <v>-19229.08896</v>
      </c>
      <c r="G28" s="5">
        <f>G26+G27</f>
        <v>-19613.6707392</v>
      </c>
      <c r="H28" s="5">
        <f>H26+H27</f>
        <v>-20005.944153984</v>
      </c>
      <c r="I28" s="5">
        <f>I26+I27</f>
        <v>-20406.06303706368</v>
      </c>
    </row>
    <row r="29" spans="1:9" x14ac:dyDescent="0.25">
      <c r="A29" s="3" t="s">
        <v>184</v>
      </c>
      <c r="C29" s="5">
        <f>C25+C28</f>
        <v>501915.20141552127</v>
      </c>
      <c r="D29" s="5">
        <f>D25+D28</f>
        <v>559280.1929833704</v>
      </c>
      <c r="E29" s="5">
        <f>E25+E28</f>
        <v>596450.060034546</v>
      </c>
      <c r="F29" s="5">
        <f>F25+F28</f>
        <v>608379.0612352365</v>
      </c>
      <c r="G29" s="5">
        <f>G25+G28</f>
        <v>620546.6424599413</v>
      </c>
      <c r="H29" s="5">
        <f>H25+H28</f>
        <v>632957.57530914</v>
      </c>
      <c r="I29" s="5">
        <f>I25+I28</f>
        <v>645616.726815323</v>
      </c>
    </row>
    <row r="30" spans="1:9" x14ac:dyDescent="0.25">
      <c r="A30" t="s">
        <v>185</v>
      </c>
      <c r="C30" s="5">
        <f>-C9*ffe_pct</f>
        <v>-25250.96545454546</v>
      </c>
      <c r="D30" s="5">
        <f>-D9*ffe_pct</f>
        <v>-27629.172727272737</v>
      </c>
      <c r="E30" s="5">
        <f>-E9*ffe_pct</f>
        <v>-29251.949454545465</v>
      </c>
      <c r="F30" s="5">
        <f>-F9*ffe_pct</f>
        <v>-29836.98844363637</v>
      </c>
      <c r="G30" s="5">
        <f>-G9*ffe_pct</f>
        <v>-30433.7282125091</v>
      </c>
      <c r="H30" s="5">
        <f>-H9*ffe_pct</f>
        <v>-31042.40277675928</v>
      </c>
      <c r="I30" s="5">
        <f>-I9*ffe_pct</f>
        <v>-31663.25083229447</v>
      </c>
    </row>
    <row r="31" spans="1:9" x14ac:dyDescent="0.25">
      <c r="A31" s="3" t="s">
        <v>186</v>
      </c>
      <c r="C31" s="5">
        <f>C29+C30</f>
        <v>476664.2359609758</v>
      </c>
      <c r="D31" s="5">
        <f>D29+D30</f>
        <v>531651.0202560977</v>
      </c>
      <c r="E31" s="5">
        <f>E29+E30</f>
        <v>567198.1105800003</v>
      </c>
      <c r="F31" s="5">
        <f>F29+F30</f>
        <v>578542.0727916</v>
      </c>
      <c r="G31" s="5">
        <f>G29+G30</f>
        <v>590112.9142474323</v>
      </c>
      <c r="H31" s="5">
        <f>H29+H30</f>
        <v>601915.1725323808</v>
      </c>
      <c r="I31" s="5">
        <f>I29+I30</f>
        <v>613953.4759830285</v>
      </c>
    </row>
    <row r="33" spans="1:9" x14ac:dyDescent="0.25">
      <c r="A33" t="s">
        <v>187</v>
      </c>
      <c r="C33" s="5">
        <f>C5+C6+C10+C11+C12+C13</f>
        <v>779959.650651885</v>
      </c>
      <c r="D33" s="5">
        <f>D5+D6+D10+D11+D12+D13</f>
        <v>855398.4268015523</v>
      </c>
      <c r="E33" s="5">
        <f>E5+E6+E10+E11+E12+E13</f>
        <v>905639.5495909094</v>
      </c>
      <c r="F33" s="5">
        <f>F5+F6+F10+F11+F12+F13</f>
        <v>923752.3405827275</v>
      </c>
      <c r="G33" s="5">
        <f>G5+G6+G10+G11+G12+G13</f>
        <v>942227.3873943822</v>
      </c>
      <c r="H33" s="5">
        <f>H5+H6+H10+H11+H12+H13</f>
        <v>961071.9351422697</v>
      </c>
      <c r="I33" s="5">
        <f>I5+I6+I10+I11+I12+I13</f>
        <v>980293.3738451152</v>
      </c>
    </row>
    <row r="34" spans="1:9" x14ac:dyDescent="0.25">
      <c r="A34" t="s">
        <v>188</v>
      </c>
      <c r="C34" s="13">
        <f>(1+cost_infl)^0</f>
        <v>1</v>
      </c>
      <c r="D34" s="13">
        <f>(1+cost_infl)^1</f>
        <v>1.02</v>
      </c>
      <c r="E34" s="13">
        <f>(1+cost_infl)^2</f>
        <v>1.0404</v>
      </c>
      <c r="F34" s="13">
        <f>(1+cost_infl)^3</f>
        <v>1.0612080000000002</v>
      </c>
      <c r="G34" s="13">
        <f>(1+cost_infl)^4</f>
        <v>1.08243216</v>
      </c>
      <c r="H34" s="13">
        <f>(1+cost_infl)^5</f>
        <v>1.1040808032</v>
      </c>
      <c r="I34" s="13">
        <f>(1+cost_infl)^6</f>
        <v>1.126162419264</v>
      </c>
    </row>
    <row r="35" spans="1:9" x14ac:dyDescent="0.25">
      <c r="A35" t="s">
        <v>189</v>
      </c>
      <c r="C35" s="5">
        <f>C33+C15+C16+C17+C18+C23+C26+C27+C30+C8+C7</f>
        <v>493296.2359609758</v>
      </c>
      <c r="D35" s="5">
        <f>D33+D15+D16+D17+D18+D23+D26+D27+D30+D8+D7</f>
        <v>548615.6602560977</v>
      </c>
      <c r="E35" s="5">
        <f>E33+E15+E16+E17+E18+E23+E26+E27+E30+E8+E7</f>
        <v>584502.0433800003</v>
      </c>
      <c r="F35" s="5">
        <f>F33+F15+F16+F17+F18+F23+F26+F27+F30+F8+F7</f>
        <v>596192.0842476</v>
      </c>
      <c r="G35" s="5">
        <f>G33+G15+G16+G17+G18+G23+G26+G27+G30+G8+G7</f>
        <v>608115.9259325522</v>
      </c>
      <c r="H35" s="5">
        <f>H33+H15+H16+H17+H18+H23+H26+H27+H30+H8+H7</f>
        <v>620278.2444512032</v>
      </c>
      <c r="I35" s="5">
        <f>I33+I15+I16+I17+I18+I23+I26+I27+I30+I8+I7</f>
        <v>632683.8093402274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9" width="12" customWidth="1"/>
  </cols>
  <sheetData>
    <row r="1" spans="1:1" x14ac:dyDescent="0.25">
      <c r="A1" s="2" t="s">
        <v>190</v>
      </c>
    </row>
    <row r="3" spans="1:2" x14ac:dyDescent="0.25">
      <c r="A3" t="s">
        <v>13</v>
      </c>
      <c r="B3" s="5">
        <f>ltv*tpc</f>
        <v>3365410.7142857146</v>
      </c>
    </row>
    <row r="4" spans="1:2" x14ac:dyDescent="0.25">
      <c r="A4" t="s">
        <v>15</v>
      </c>
      <c r="B4" s="5">
        <f>apertura_pct*B3+ajdm_pct*B3+tasacion_u*units_c+notaria_pct*B3+registro_pct*B3+gestoria_f</f>
        <v>78740.91964285714</v>
      </c>
    </row>
    <row r="5" spans="1:2" x14ac:dyDescent="0.25">
      <c r="A5" t="s">
        <v>16</v>
      </c>
      <c r="B5" s="5">
        <f>tpc-B3+B4</f>
        <v>2832258.7767857146</v>
      </c>
    </row>
    <row r="6" spans="1:2" x14ac:dyDescent="0.25">
      <c r="A6" t="s">
        <v>19</v>
      </c>
      <c r="B6" s="5">
        <f>B5*(1-gp_pct)</f>
        <v>2265807.0214285715</v>
      </c>
    </row>
    <row r="7" spans="1:2" x14ac:dyDescent="0.25">
      <c r="A7" t="s">
        <v>20</v>
      </c>
      <c r="B7" s="5">
        <f>B5*gp_pct</f>
        <v>566451.7553571429</v>
      </c>
    </row>
    <row r="8" spans="1:2" x14ac:dyDescent="0.25">
      <c r="A8" t="s">
        <v>21</v>
      </c>
      <c r="B8" s="5">
        <f>-PMT(rate/12,term*12,B3)*12</f>
        <v>274060.8635447608</v>
      </c>
    </row>
    <row r="10" spans="3:9" x14ac:dyDescent="0.25">
      <c r="C10" s="3" t="s">
        <v>152</v>
      </c>
      <c r="D10" s="3" t="s">
        <v>153</v>
      </c>
      <c r="E10" s="3" t="s">
        <v>154</v>
      </c>
      <c r="F10" s="3" t="s">
        <v>155</v>
      </c>
      <c r="G10" s="3" t="s">
        <v>156</v>
      </c>
      <c r="H10" s="3" t="s">
        <v>157</v>
      </c>
      <c r="I10" s="3" t="s">
        <v>158</v>
      </c>
    </row>
    <row r="11" spans="1:9" x14ac:dyDescent="0.25">
      <c r="A11" t="s">
        <v>186</v>
      </c>
      <c r="C11" s="5">
        <f>'P&amp;L'!C31</f>
        <v>476664.2359609758</v>
      </c>
      <c r="D11" s="5">
        <f>'P&amp;L'!D31</f>
        <v>531651.0202560977</v>
      </c>
      <c r="E11" s="5">
        <f>'P&amp;L'!E31</f>
        <v>567198.1105800003</v>
      </c>
      <c r="F11" s="5">
        <f>'P&amp;L'!F31</f>
        <v>578542.0727916</v>
      </c>
      <c r="G11" s="5">
        <f>'P&amp;L'!G31</f>
        <v>590112.9142474323</v>
      </c>
      <c r="H11" s="5">
        <f>'P&amp;L'!H31</f>
        <v>601915.1725323808</v>
      </c>
      <c r="I11" s="5">
        <f>'P&amp;L'!I31</f>
        <v>613953.4759830285</v>
      </c>
    </row>
    <row r="12" spans="1:9" x14ac:dyDescent="0.25">
      <c r="A12" t="s">
        <v>191</v>
      </c>
      <c r="C12" s="5">
        <f>IF(B$3=0,0,CUMIPMT(rate/12,term*12,B$3,1,12,0))</f>
        <v>-90243.41951694002</v>
      </c>
      <c r="D12" s="5">
        <f>IF(B$3=0,0,CUMIPMT(rate/12,term*12,B$3,13,24,0))</f>
        <v>-85124.23677792613</v>
      </c>
      <c r="E12" s="5">
        <f>IF(B$3=0,0,CUMIPMT(rate/12,term*12,B$3,25,36,0))</f>
        <v>-79862.48850573326</v>
      </c>
      <c r="F12" s="5">
        <f>IF(B$3=0,0,CUMIPMT(rate/12,term*12,B$3,37,48,0))</f>
        <v>-74454.20435347469</v>
      </c>
      <c r="G12" s="5">
        <f>IF(B$3=0,0,CUMIPMT(rate/12,term*12,B$3,49,60,0))</f>
        <v>-68895.30340297725</v>
      </c>
      <c r="H12" s="5">
        <f>IF(B$3=0,0,CUMIPMT(rate/12,term*12,B$3,61,72,0))</f>
        <v>-63181.59108545107</v>
      </c>
      <c r="I12" s="5">
        <f>IF(B$3=0,0,CUMIPMT(rate/12,term*12,B$3,73,84,0))</f>
        <v>-57308.75601640222</v>
      </c>
    </row>
    <row r="13" spans="1:9" x14ac:dyDescent="0.25">
      <c r="A13" t="s">
        <v>192</v>
      </c>
      <c r="C13" s="5">
        <f>IF(B$3=0,0,CUMPRINC(rate/12,term*12,B$3,1,12,0))</f>
        <v>-183817.44402782075</v>
      </c>
      <c r="D13" s="5">
        <f>IF(B$3=0,0,CUMPRINC(rate/12,term*12,B$3,13,24,0))</f>
        <v>-188936.62676683464</v>
      </c>
      <c r="E13" s="5">
        <f>IF(B$3=0,0,CUMPRINC(rate/12,term*12,B$3,25,36,0))</f>
        <v>-194198.3750390275</v>
      </c>
      <c r="F13" s="5">
        <f>IF(B$3=0,0,CUMPRINC(rate/12,term*12,B$3,37,48,0))</f>
        <v>-199606.65919128613</v>
      </c>
      <c r="G13" s="5">
        <f>IF(B$3=0,0,CUMPRINC(rate/12,term*12,B$3,49,60,0))</f>
        <v>-205165.56014178356</v>
      </c>
      <c r="H13" s="5">
        <f>IF(B$3=0,0,CUMPRINC(rate/12,term*12,B$3,61,72,0))</f>
        <v>-210879.27245930972</v>
      </c>
      <c r="I13" s="5">
        <f>IF(B$3=0,0,CUMPRINC(rate/12,term*12,B$3,73,84,0))</f>
        <v>-216752.10752835858</v>
      </c>
    </row>
    <row r="14" spans="1:9" x14ac:dyDescent="0.25">
      <c r="A14" t="s">
        <v>193</v>
      </c>
      <c r="C14" s="5">
        <f>C11+C12+C13</f>
        <v>202603.37241621505</v>
      </c>
      <c r="D14" s="5">
        <f>D11+D12+D13</f>
        <v>257590.15671133692</v>
      </c>
      <c r="E14" s="5">
        <f>E11+E12+E13</f>
        <v>293137.2470352396</v>
      </c>
      <c r="F14" s="5">
        <f>F11+F12+F13</f>
        <v>304481.2092468392</v>
      </c>
      <c r="G14" s="5">
        <f>G11+G12+G13</f>
        <v>316052.05070267146</v>
      </c>
      <c r="H14" s="5">
        <f>H11+H12+H13</f>
        <v>327854.30898762</v>
      </c>
      <c r="I14" s="5">
        <f>I11+I12+I13</f>
        <v>339892.6124382677</v>
      </c>
    </row>
    <row r="15" spans="1:9" x14ac:dyDescent="0.25">
      <c r="A15" t="s">
        <v>194</v>
      </c>
      <c r="C15" s="5">
        <f>MAX(0,C14)</f>
        <v>202603.37241621505</v>
      </c>
      <c r="D15" s="5">
        <f>MAX(0,D14)</f>
        <v>257590.15671133692</v>
      </c>
      <c r="E15" s="5">
        <f>MAX(0,E14)</f>
        <v>293137.2470352396</v>
      </c>
      <c r="F15" s="5">
        <f>MAX(0,F14)</f>
        <v>304481.2092468392</v>
      </c>
      <c r="G15" s="5">
        <f>MAX(0,G14)</f>
        <v>316052.05070267146</v>
      </c>
      <c r="H15" s="5">
        <f>MAX(0,H14)</f>
        <v>327854.30898762</v>
      </c>
      <c r="I15" s="5">
        <f>MAX(0,I14)</f>
        <v>339892.6124382677</v>
      </c>
    </row>
    <row r="16" spans="1:9" x14ac:dyDescent="0.25">
      <c r="A16" t="s">
        <v>195</v>
      </c>
      <c r="C16" s="5">
        <f>2447071.5831428575</f>
        <v>2447071.5831428575</v>
      </c>
      <c r="D16" s="5">
        <f>2467787.9960266766</f>
        <v>2467787.9960266766</v>
      </c>
      <c r="E16" s="5">
        <f>2442653.1403102158</f>
        <v>2442653.1403102158</v>
      </c>
      <c r="F16" s="5">
        <f>2384794.8100965857</f>
        <v>2384794.8100965857</v>
      </c>
      <c r="G16" s="5">
        <f>2312506.6301150443</f>
        <v>2312506.6301150443</v>
      </c>
      <c r="H16" s="5">
        <f>2224438.18871714</f>
        <v>2224438.18871714</v>
      </c>
      <c r="I16" s="5">
        <f>2119127.120849207</f>
        <v>2119127.120849207</v>
      </c>
    </row>
    <row r="17" spans="1:9" x14ac:dyDescent="0.25">
      <c r="A17" t="s">
        <v>196</v>
      </c>
      <c r="C17" s="5">
        <f>2537703.8640000005</f>
        <v>2537703.8640000005</v>
      </c>
      <c r="D17" s="5">
        <f>2660695.7059950717</f>
        <v>2660695.7059950717</v>
      </c>
      <c r="E17" s="5">
        <f>2749178.410301123</f>
        <v>2749178.410301123</v>
      </c>
      <c r="F17" s="5">
        <f>2816428.8461936833</f>
        <v>2816428.8461936833</v>
      </c>
      <c r="G17" s="5">
        <f>2881585.1442517573</f>
        <v>2881585.1442517573</v>
      </c>
      <c r="H17" s="5">
        <f>2944192.724132376</f>
        <v>2944192.724132376</v>
      </c>
      <c r="I17" s="5">
        <f>3003738.3901753537</f>
        <v>3003738.3901753537</v>
      </c>
    </row>
    <row r="18" spans="1:9" x14ac:dyDescent="0.25">
      <c r="A18" t="s">
        <v>197</v>
      </c>
      <c r="C18" s="5">
        <f>0</f>
        <v>0</v>
      </c>
      <c r="D18" s="5">
        <f>C18+C22</f>
        <v>162082.69793297202</v>
      </c>
      <c r="E18" s="5">
        <f>D18+D22</f>
        <v>368154.8233020415</v>
      </c>
      <c r="F18" s="5">
        <f>E18+E22</f>
        <v>602664.6209302332</v>
      </c>
      <c r="G18" s="5">
        <f>F18+F22</f>
        <v>846249.5883277045</v>
      </c>
      <c r="H18" s="5">
        <f>G18+G22</f>
        <v>1099091.2288898416</v>
      </c>
      <c r="I18" s="5">
        <f>H18+H22</f>
        <v>1361374.6760799375</v>
      </c>
    </row>
    <row r="19" spans="1:9" x14ac:dyDescent="0.25">
      <c r="A19" t="s">
        <v>198</v>
      </c>
      <c r="C19" s="5">
        <f>202603.37241621505</f>
        <v>202603.37241621505</v>
      </c>
      <c r="D19" s="5">
        <f>257590.15671133692</f>
        <v>257590.15671133692</v>
      </c>
      <c r="E19" s="5">
        <f>293137.2470352396</f>
        <v>293137.2470352396</v>
      </c>
      <c r="F19" s="5">
        <f>304481.2092468392</f>
        <v>304481.2092468392</v>
      </c>
      <c r="G19" s="5">
        <f>316052.05070267146</f>
        <v>316052.05070267146</v>
      </c>
      <c r="H19" s="5">
        <f>327854.30898762</f>
        <v>327854.30898762</v>
      </c>
      <c r="I19" s="5">
        <f>339892.6124382677</f>
        <v>339892.6124382677</v>
      </c>
    </row>
    <row r="20" spans="1:9" x14ac:dyDescent="0.25">
      <c r="A20" t="s">
        <v>199</v>
      </c>
      <c r="C20" s="5">
        <f>0</f>
        <v>0</v>
      </c>
      <c r="D20" s="5">
        <f>0</f>
        <v>0</v>
      </c>
      <c r="E20" s="5">
        <f>0</f>
        <v>0</v>
      </c>
      <c r="F20" s="5">
        <f>0</f>
        <v>0</v>
      </c>
      <c r="G20" s="5">
        <f>0</f>
        <v>0</v>
      </c>
      <c r="H20" s="5">
        <f>0</f>
        <v>0</v>
      </c>
      <c r="I20" s="5">
        <f>0</f>
        <v>0</v>
      </c>
    </row>
    <row r="21" spans="1:9" x14ac:dyDescent="0.25">
      <c r="A21" t="s">
        <v>200</v>
      </c>
      <c r="C21" s="5">
        <f>0</f>
        <v>0</v>
      </c>
      <c r="D21" s="5">
        <f>0</f>
        <v>0</v>
      </c>
      <c r="E21" s="5">
        <f>0</f>
        <v>0</v>
      </c>
      <c r="F21" s="5">
        <f>0</f>
        <v>0</v>
      </c>
      <c r="G21" s="5">
        <f>0</f>
        <v>0</v>
      </c>
      <c r="H21" s="5">
        <f>0</f>
        <v>0</v>
      </c>
      <c r="I21" s="5">
        <f>0</f>
        <v>0</v>
      </c>
    </row>
    <row r="22" spans="1:9" x14ac:dyDescent="0.25">
      <c r="A22" t="s">
        <v>201</v>
      </c>
      <c r="C22" s="5">
        <f>162082.69793297202</f>
        <v>162082.69793297202</v>
      </c>
      <c r="D22" s="5">
        <f>206072.12536906952</f>
        <v>206072.12536906952</v>
      </c>
      <c r="E22" s="5">
        <f>234509.79762819165</f>
        <v>234509.79762819165</v>
      </c>
      <c r="F22" s="5">
        <f>243584.96739747137</f>
        <v>243584.96739747137</v>
      </c>
      <c r="G22" s="5">
        <f>252841.64056213715</f>
        <v>252841.64056213715</v>
      </c>
      <c r="H22" s="5">
        <f>262283.44719009596</f>
        <v>262283.44719009596</v>
      </c>
      <c r="I22" s="5">
        <f>271914.08995061414</f>
        <v>271914.08995061414</v>
      </c>
    </row>
    <row r="23" spans="1:9" x14ac:dyDescent="0.25">
      <c r="A23" t="s">
        <v>202</v>
      </c>
      <c r="C23" s="5">
        <f>40520.67448324303</f>
        <v>40520.67448324303</v>
      </c>
      <c r="D23" s="5">
        <f>51518.03134226741</f>
        <v>51518.03134226741</v>
      </c>
      <c r="E23" s="5">
        <f>58627.44940704794</f>
        <v>58627.44940704794</v>
      </c>
      <c r="F23" s="5">
        <f>60896.241849367856</f>
        <v>60896.241849367856</v>
      </c>
      <c r="G23" s="5">
        <f>63210.41014053431</f>
        <v>63210.41014053431</v>
      </c>
      <c r="H23" s="5">
        <f>65570.86179752403</f>
        <v>65570.86179752403</v>
      </c>
      <c r="I23" s="5">
        <f>67978.52248765354</f>
        <v>67978.52248765354</v>
      </c>
    </row>
    <row r="25" spans="1:2" x14ac:dyDescent="0.25">
      <c r="A25" t="s">
        <v>203</v>
      </c>
      <c r="B25" s="5">
        <f>'P&amp;L'!I31</f>
        <v>613953.4759830285</v>
      </c>
    </row>
    <row r="26" spans="1:2" x14ac:dyDescent="0.25">
      <c r="A26" t="s">
        <v>204</v>
      </c>
      <c r="B26" s="5">
        <f>B25/cap</f>
        <v>8770763.942614693</v>
      </c>
    </row>
    <row r="27" spans="1:2" x14ac:dyDescent="0.25">
      <c r="A27" t="s">
        <v>27</v>
      </c>
      <c r="B27" s="5">
        <f>-B26*sell_pct</f>
        <v>-175415.27885229388</v>
      </c>
    </row>
    <row r="28" spans="1:2" x14ac:dyDescent="0.25">
      <c r="A28" t="s">
        <v>205</v>
      </c>
      <c r="B28" s="5">
        <f>IF(B$3=0,0,B$3+CUMPRINC(rate/12,term*12,B$3,1,84,0))</f>
        <v>1966054.6691312923</v>
      </c>
    </row>
    <row r="29" spans="1:2" x14ac:dyDescent="0.25">
      <c r="A29" t="s">
        <v>206</v>
      </c>
      <c r="B29" s="5">
        <f>B26+B27-B28</f>
        <v>6629293.994631108</v>
      </c>
    </row>
    <row r="30" spans="1:2" x14ac:dyDescent="0.25">
      <c r="A30" t="s">
        <v>207</v>
      </c>
      <c r="B30" s="5">
        <f>MAX(0,B29-eq_total)</f>
        <v>3797035.217845393</v>
      </c>
    </row>
    <row r="31" spans="1:2" x14ac:dyDescent="0.25">
      <c r="A31" t="s">
        <v>208</v>
      </c>
      <c r="B31" s="5">
        <f>4565752.692978476</f>
        <v>4565752.692978476</v>
      </c>
    </row>
    <row r="32" spans="1:2" x14ac:dyDescent="0.25">
      <c r="A32" t="s">
        <v>209</v>
      </c>
      <c r="B32" s="5">
        <f>2063541.3016526317</f>
        <v>2063541.3016526317</v>
      </c>
    </row>
    <row r="34" spans="1:9" x14ac:dyDescent="0.25">
      <c r="A34" t="s">
        <v>210</v>
      </c>
      <c r="B34" s="5">
        <f>-eq_lp</f>
        <v>-2265807.0214285715</v>
      </c>
      <c r="C34" s="5">
        <f>C22</f>
        <v>162082.69793297202</v>
      </c>
      <c r="D34" s="5">
        <f>D22</f>
        <v>206072.12536906952</v>
      </c>
      <c r="E34" s="5">
        <f>E22</f>
        <v>234509.79762819165</v>
      </c>
      <c r="F34" s="5">
        <f>F22</f>
        <v>243584.96739747137</v>
      </c>
      <c r="G34" s="5">
        <f>G22</f>
        <v>252841.64056213715</v>
      </c>
      <c r="H34" s="5">
        <f>H22</f>
        <v>262283.44719009596</v>
      </c>
      <c r="I34" s="5">
        <f>I22+B31</f>
        <v>4837666.782929091</v>
      </c>
    </row>
    <row r="36" spans="1:2" x14ac:dyDescent="0.25">
      <c r="A36" s="3" t="s">
        <v>31</v>
      </c>
      <c r="B36" s="6">
        <f>IRR(B34:I34)</f>
        <v>0.18128668894830902</v>
      </c>
    </row>
    <row r="37" spans="1:2" x14ac:dyDescent="0.25">
      <c r="A37" s="3" t="s">
        <v>211</v>
      </c>
      <c r="B37" s="5">
        <f>SUM(C22:I22)+B31</f>
        <v>6199041.459009028</v>
      </c>
    </row>
    <row r="38" spans="1:2" x14ac:dyDescent="0.25">
      <c r="A38" s="3" t="s">
        <v>212</v>
      </c>
      <c r="B38" s="7">
        <f>B37/eq_lp</f>
        <v>2.7359088397124776</v>
      </c>
    </row>
    <row r="39" spans="1:2" x14ac:dyDescent="0.25">
      <c r="A39" s="3" t="s">
        <v>213</v>
      </c>
      <c r="B39" s="6">
        <f>'P&amp;L'!E31/tpc</f>
        <v>0.0926956580647873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9" width="12" customWidth="1"/>
  </cols>
  <sheetData>
    <row r="1" spans="1:1" x14ac:dyDescent="0.25">
      <c r="A1" s="2" t="s">
        <v>214</v>
      </c>
    </row>
    <row r="3" spans="1:1" x14ac:dyDescent="0.25">
      <c r="A3" s="3" t="s">
        <v>215</v>
      </c>
    </row>
    <row r="4" spans="2:9" x14ac:dyDescent="0.25">
      <c r="B4" s="3" t="s">
        <v>216</v>
      </c>
      <c r="C4" s="3" t="s">
        <v>152</v>
      </c>
      <c r="D4" s="3" t="s">
        <v>153</v>
      </c>
      <c r="E4" s="3" t="s">
        <v>154</v>
      </c>
      <c r="F4" s="3" t="s">
        <v>155</v>
      </c>
      <c r="G4" s="3" t="s">
        <v>156</v>
      </c>
      <c r="H4" s="3" t="s">
        <v>157</v>
      </c>
      <c r="I4" s="3" t="s">
        <v>158</v>
      </c>
    </row>
    <row r="5" spans="1:2" x14ac:dyDescent="0.25">
      <c r="A5" t="s">
        <v>217</v>
      </c>
      <c r="B5" s="5">
        <f>-IF(Assumptions!$B$47&gt;0,tpc,cost_base)</f>
        <v>-6057121.212121212</v>
      </c>
    </row>
    <row r="6" spans="1:2" x14ac:dyDescent="0.25">
      <c r="A6" t="s">
        <v>15</v>
      </c>
      <c r="B6" s="5">
        <f>-IF(B8=0,0,(Assumptions!$B$51+Assumptions!$B$52+Assumptions!$B$54+Assumptions!$B$55)*B8+Assumptions!$B$53*units_c+Assumptions!$B$56)</f>
        <v>0</v>
      </c>
    </row>
    <row r="7" spans="1:2" x14ac:dyDescent="0.25">
      <c r="A7" t="s">
        <v>17</v>
      </c>
      <c r="B7" s="5">
        <f>-vat_float</f>
        <v>-160818</v>
      </c>
    </row>
    <row r="8" spans="1:2" x14ac:dyDescent="0.25">
      <c r="A8" t="s">
        <v>218</v>
      </c>
      <c r="B8" s="5">
        <f>Assumptions!$B$47*tpc</f>
        <v>0</v>
      </c>
    </row>
    <row r="9" spans="1:2" x14ac:dyDescent="0.25">
      <c r="A9" t="s">
        <v>219</v>
      </c>
      <c r="B9" s="5">
        <f>(-(B5+B8+B6)-B7)*(1-gp_pct)</f>
        <v>4974351.36969697</v>
      </c>
    </row>
    <row r="10" spans="1:2" x14ac:dyDescent="0.25">
      <c r="A10" t="s">
        <v>220</v>
      </c>
      <c r="B10" s="5">
        <f>(-(B5+B8+B6)-B7)*gp_pct</f>
        <v>1243587.8424242425</v>
      </c>
    </row>
    <row r="11" spans="1:2" x14ac:dyDescent="0.25">
      <c r="A11" s="3" t="s">
        <v>221</v>
      </c>
      <c r="B11" s="5">
        <f>SUM(B5:B10)</f>
        <v>0</v>
      </c>
    </row>
    <row r="13" spans="1:9" x14ac:dyDescent="0.25">
      <c r="A13" t="s">
        <v>186</v>
      </c>
      <c r="C13" s="5">
        <f>'P&amp;L'!C31</f>
        <v>476664.2359609758</v>
      </c>
      <c r="D13" s="5">
        <f>'P&amp;L'!D31</f>
        <v>531651.0202560977</v>
      </c>
      <c r="E13" s="5">
        <f>'P&amp;L'!E31</f>
        <v>567198.1105800003</v>
      </c>
      <c r="F13" s="5">
        <f>'P&amp;L'!F31</f>
        <v>578542.0727916</v>
      </c>
      <c r="G13" s="5">
        <f>'P&amp;L'!G31</f>
        <v>590112.9142474323</v>
      </c>
      <c r="H13" s="5">
        <f>'P&amp;L'!H31</f>
        <v>601915.1725323808</v>
      </c>
      <c r="I13" s="5">
        <f>'P&amp;L'!I31</f>
        <v>613953.4759830285</v>
      </c>
    </row>
    <row r="14" spans="1:9" x14ac:dyDescent="0.25">
      <c r="A14" t="s">
        <v>191</v>
      </c>
      <c r="C14" s="5">
        <f>IF(B8=0,0,CUMIPMT(Assumptions!$B$48/12,Assumptions!$B$49*12,B8,1,12,0))</f>
        <v>0</v>
      </c>
      <c r="D14" s="5">
        <f>IF(B8=0,0,CUMIPMT(Assumptions!$B$48/12,Assumptions!$B$49*12,B8,13,24,0))</f>
        <v>0</v>
      </c>
      <c r="E14" s="5">
        <f>IF(B8=0,0,CUMIPMT(Assumptions!$B$48/12,Assumptions!$B$49*12,B8,25,36,0))</f>
        <v>0</v>
      </c>
      <c r="F14" s="5">
        <f>IF(B8=0,0,CUMIPMT(Assumptions!$B$48/12,Assumptions!$B$49*12,B8,37,48,0))</f>
        <v>0</v>
      </c>
      <c r="G14" s="5">
        <f>IF(B8=0,0,CUMIPMT(Assumptions!$B$48/12,Assumptions!$B$49*12,B8,49,60,0))</f>
        <v>0</v>
      </c>
      <c r="H14" s="5">
        <f>IF(B8=0,0,CUMIPMT(Assumptions!$B$48/12,Assumptions!$B$49*12,B8,61,72,0))</f>
        <v>0</v>
      </c>
      <c r="I14" s="5">
        <f>IF(B8=0,0,CUMIPMT(Assumptions!$B$48/12,Assumptions!$B$49*12,B8,73,84,0))</f>
        <v>0</v>
      </c>
    </row>
    <row r="15" spans="1:9" x14ac:dyDescent="0.25">
      <c r="A15" t="s">
        <v>192</v>
      </c>
      <c r="C15" s="5">
        <f>IF(B8=0,0,CUMPRINC(Assumptions!$B$48/12,Assumptions!$B$49*12,B8,1,12,0))</f>
        <v>0</v>
      </c>
      <c r="D15" s="5">
        <f>IF(B8=0,0,CUMPRINC(Assumptions!$B$48/12,Assumptions!$B$49*12,B8,13,24,0))</f>
        <v>0</v>
      </c>
      <c r="E15" s="5">
        <f>IF(B8=0,0,CUMPRINC(Assumptions!$B$48/12,Assumptions!$B$49*12,B8,25,36,0))</f>
        <v>0</v>
      </c>
      <c r="F15" s="5">
        <f>IF(B8=0,0,CUMPRINC(Assumptions!$B$48/12,Assumptions!$B$49*12,B8,37,48,0))</f>
        <v>0</v>
      </c>
      <c r="G15" s="5">
        <f>IF(B8=0,0,CUMPRINC(Assumptions!$B$48/12,Assumptions!$B$49*12,B8,49,60,0))</f>
        <v>0</v>
      </c>
      <c r="H15" s="5">
        <f>IF(B8=0,0,CUMPRINC(Assumptions!$B$48/12,Assumptions!$B$49*12,B8,61,72,0))</f>
        <v>0</v>
      </c>
      <c r="I15" s="5">
        <f>IF(B8=0,0,CUMPRINC(Assumptions!$B$48/12,Assumptions!$B$49*12,B8,73,84,0))</f>
        <v>0</v>
      </c>
    </row>
    <row r="16" spans="1:9" x14ac:dyDescent="0.25">
      <c r="A16" t="s">
        <v>222</v>
      </c>
      <c r="C16" s="5">
        <f>C13+C14+C15</f>
        <v>476664.2359609758</v>
      </c>
      <c r="D16" s="5">
        <f>D13+D14+D15</f>
        <v>531651.0202560977</v>
      </c>
      <c r="E16" s="5">
        <f>E13+E14+E15</f>
        <v>567198.1105800003</v>
      </c>
      <c r="F16" s="5">
        <f>F13+F14+F15</f>
        <v>578542.0727916</v>
      </c>
      <c r="G16" s="5">
        <f>G13+G14+G15</f>
        <v>590112.9142474323</v>
      </c>
      <c r="H16" s="5">
        <f>H13+H14+H15</f>
        <v>601915.1725323808</v>
      </c>
      <c r="I16" s="5">
        <f>I13+I14+I15</f>
        <v>613953.4759830285</v>
      </c>
    </row>
    <row r="17" spans="1:9" x14ac:dyDescent="0.25">
      <c r="A17" t="s">
        <v>223</v>
      </c>
      <c r="C17" s="5">
        <f>0</f>
        <v>0</v>
      </c>
      <c r="D17" s="5">
        <f>0</f>
        <v>0</v>
      </c>
      <c r="E17" s="5">
        <f>0</f>
        <v>0</v>
      </c>
      <c r="F17" s="5">
        <f>0</f>
        <v>0</v>
      </c>
      <c r="G17" s="5">
        <f>0</f>
        <v>0</v>
      </c>
      <c r="H17" s="5">
        <f>0</f>
        <v>0</v>
      </c>
      <c r="I17" s="5">
        <f>0</f>
        <v>0</v>
      </c>
    </row>
    <row r="18" spans="1:9" x14ac:dyDescent="0.25">
      <c r="A18" t="s">
        <v>224</v>
      </c>
      <c r="C18" s="5">
        <f>IF(1=MIN(MAX(1,ROUNDUP(vat_months/12,0)),7),-B7,0)</f>
        <v>160818</v>
      </c>
      <c r="D18" s="5">
        <f>IF(2=MIN(MAX(1,ROUNDUP(vat_months/12,0)),7),-B7,0)</f>
        <v>0</v>
      </c>
      <c r="E18" s="5">
        <f>IF(3=MIN(MAX(1,ROUNDUP(vat_months/12,0)),7),-B7,0)</f>
        <v>0</v>
      </c>
      <c r="F18" s="5">
        <f>IF(4=MIN(MAX(1,ROUNDUP(vat_months/12,0)),7),-B7,0)</f>
        <v>0</v>
      </c>
      <c r="G18" s="5">
        <f>IF(5=MIN(MAX(1,ROUNDUP(vat_months/12,0)),7),-B7,0)</f>
        <v>0</v>
      </c>
      <c r="H18" s="5">
        <f>IF(6=MIN(MAX(1,ROUNDUP(vat_months/12,0)),7),-B7,0)</f>
        <v>0</v>
      </c>
      <c r="I18" s="5">
        <f>IF(7=MIN(MAX(1,ROUNDUP(vat_months/12,0)),7),-B7,0)</f>
        <v>0</v>
      </c>
    </row>
    <row r="19" spans="1:9" x14ac:dyDescent="0.25">
      <c r="A19" t="s">
        <v>225</v>
      </c>
      <c r="C19" s="5">
        <f>C16+C17+C18</f>
        <v>637482.2359609758</v>
      </c>
      <c r="D19" s="5">
        <f>C19+D16+D17+D18</f>
        <v>1169133.2562170734</v>
      </c>
      <c r="E19" s="5">
        <f>D19+E16+E17+E18</f>
        <v>1736331.3667970737</v>
      </c>
      <c r="F19" s="5">
        <f>E19+F16+F17+F18</f>
        <v>2314873.439588674</v>
      </c>
      <c r="G19" s="5">
        <f>F19+G16+G17+G18</f>
        <v>2904986.353836106</v>
      </c>
      <c r="H19" s="5">
        <f>G19+H16+H17+H18</f>
        <v>3506901.5263684867</v>
      </c>
      <c r="I19" s="5">
        <f>H19+I16+I17+I18</f>
        <v>4120855.002351515</v>
      </c>
    </row>
    <row r="20" spans="1:9" x14ac:dyDescent="0.25">
      <c r="A20" t="s">
        <v>226</v>
      </c>
      <c r="C20" s="7">
        <f>IF((C14+C15)=0,0,-C13/(C14+C15))</f>
        <v>0</v>
      </c>
      <c r="D20" s="7">
        <f>IF((D14+D15)=0,0,-D13/(D14+D15))</f>
        <v>0</v>
      </c>
      <c r="E20" s="7">
        <f>IF((E14+E15)=0,0,-E13/(E14+E15))</f>
        <v>0</v>
      </c>
      <c r="F20" s="7">
        <f>IF((F14+F15)=0,0,-F13/(F14+F15))</f>
        <v>0</v>
      </c>
      <c r="G20" s="7">
        <f>IF((G14+G15)=0,0,-G13/(G14+G15))</f>
        <v>0</v>
      </c>
      <c r="H20" s="7">
        <f>IF((H14+H15)=0,0,-H13/(H14+H15))</f>
        <v>0</v>
      </c>
      <c r="I20" s="7">
        <f>IF((I14+I15)=0,0,-I13/(I14+I15))</f>
        <v>0</v>
      </c>
    </row>
    <row r="22" spans="1:9" x14ac:dyDescent="0.25">
      <c r="A22" t="s">
        <v>26</v>
      </c>
      <c r="C22" s="5">
        <f>IF(1=7,'P&amp;L'!I31/cap,0)</f>
        <v>0</v>
      </c>
      <c r="D22" s="5">
        <f>IF(2=7,'P&amp;L'!I31/cap,0)</f>
        <v>0</v>
      </c>
      <c r="E22" s="5">
        <f>IF(3=7,'P&amp;L'!I31/cap,0)</f>
        <v>0</v>
      </c>
      <c r="F22" s="5">
        <f>IF(4=7,'P&amp;L'!I31/cap,0)</f>
        <v>0</v>
      </c>
      <c r="G22" s="5">
        <f>IF(5=7,'P&amp;L'!I31/cap,0)</f>
        <v>0</v>
      </c>
      <c r="H22" s="5">
        <f>IF(6=7,'P&amp;L'!I31/cap,0)</f>
        <v>0</v>
      </c>
      <c r="I22" s="5">
        <f>IF(7=7,'P&amp;L'!I31/cap,0)</f>
        <v>8770763.942614693</v>
      </c>
    </row>
    <row r="23" spans="1:9" x14ac:dyDescent="0.25">
      <c r="A23" t="s">
        <v>27</v>
      </c>
      <c r="C23" s="5">
        <f>-C22*sell_pct</f>
        <v>0</v>
      </c>
      <c r="D23" s="5">
        <f>-D22*sell_pct</f>
        <v>0</v>
      </c>
      <c r="E23" s="5">
        <f>-E22*sell_pct</f>
        <v>0</v>
      </c>
      <c r="F23" s="5">
        <f>-F22*sell_pct</f>
        <v>0</v>
      </c>
      <c r="G23" s="5">
        <f>-G22*sell_pct</f>
        <v>0</v>
      </c>
      <c r="H23" s="5">
        <f>-H22*sell_pct</f>
        <v>0</v>
      </c>
      <c r="I23" s="5">
        <f>-I22*sell_pct</f>
        <v>-175415.27885229327</v>
      </c>
    </row>
    <row r="24" spans="1:9" x14ac:dyDescent="0.25">
      <c r="A24" t="s">
        <v>28</v>
      </c>
      <c r="C24" s="5">
        <f>IF(1&lt;7,0,IF(B8=0,0,-(B8+CUMPRINC(Assumptions!$B$48/12,Assumptions!$B$49*12,B8,1,84,0))))</f>
        <v>0</v>
      </c>
      <c r="D24" s="5">
        <f>IF(2&lt;7,0,IF(B8=0,0,-(B8+CUMPRINC(Assumptions!$B$48/12,Assumptions!$B$49*12,B8,1,84,0))))</f>
        <v>0</v>
      </c>
      <c r="E24" s="5">
        <f>IF(3&lt;7,0,IF(B8=0,0,-(B8+CUMPRINC(Assumptions!$B$48/12,Assumptions!$B$49*12,B8,1,84,0))))</f>
        <v>0</v>
      </c>
      <c r="F24" s="5">
        <f>IF(4&lt;7,0,IF(B8=0,0,-(B8+CUMPRINC(Assumptions!$B$48/12,Assumptions!$B$49*12,B8,1,84,0))))</f>
        <v>0</v>
      </c>
      <c r="G24" s="5">
        <f>IF(5&lt;7,0,IF(B8=0,0,-(B8+CUMPRINC(Assumptions!$B$48/12,Assumptions!$B$49*12,B8,1,84,0))))</f>
        <v>0</v>
      </c>
      <c r="H24" s="5">
        <f>IF(6&lt;7,0,IF(B8=0,0,-(B8+CUMPRINC(Assumptions!$B$48/12,Assumptions!$B$49*12,B8,1,84,0))))</f>
        <v>0</v>
      </c>
      <c r="I24" s="5">
        <f>IF(7&lt;7,0,IF(B8=0,0,-(B8+CUMPRINC(Assumptions!$B$48/12,Assumptions!$B$49*12,B8,1,84,0))))</f>
        <v>0</v>
      </c>
    </row>
    <row r="25" spans="1:9" x14ac:dyDescent="0.25">
      <c r="A25" t="s">
        <v>29</v>
      </c>
      <c r="C25" s="5">
        <f>C22+C23+C24</f>
        <v>0</v>
      </c>
      <c r="D25" s="5">
        <f>D22+D23+D24</f>
        <v>0</v>
      </c>
      <c r="E25" s="5">
        <f>E22+E23+E24</f>
        <v>0</v>
      </c>
      <c r="F25" s="5">
        <f>F22+F23+F24</f>
        <v>0</v>
      </c>
      <c r="G25" s="5">
        <f>G22+G23+G24</f>
        <v>0</v>
      </c>
      <c r="H25" s="5">
        <f>H22+H23+H24</f>
        <v>0</v>
      </c>
      <c r="I25" s="5">
        <f>I22+I23+I24</f>
        <v>8595348.6637624</v>
      </c>
    </row>
    <row r="27" spans="1:9" x14ac:dyDescent="0.25">
      <c r="A27" t="s">
        <v>201</v>
      </c>
      <c r="C27" s="5">
        <f>381331.3887687807</f>
        <v>381331.3887687807</v>
      </c>
      <c r="D27" s="5">
        <f>425320.81620487815</f>
        <v>425320.81620487815</v>
      </c>
      <c r="E27" s="5">
        <f>453758.4884640003</f>
        <v>453758.4884640003</v>
      </c>
      <c r="F27" s="5">
        <f>462833.65823328006</f>
        <v>462833.65823328006</v>
      </c>
      <c r="G27" s="5">
        <f>472090.3313979458</f>
        <v>472090.3313979458</v>
      </c>
      <c r="H27" s="5">
        <f>481532.13802590466</f>
        <v>481532.13802590466</v>
      </c>
      <c r="I27" s="5">
        <f>491162.78078642284</f>
        <v>491162.78078642284</v>
      </c>
    </row>
    <row r="28" spans="1:9" x14ac:dyDescent="0.25">
      <c r="A28" t="s">
        <v>202</v>
      </c>
      <c r="C28" s="5">
        <f>95332.84719219513</f>
        <v>95332.84719219513</v>
      </c>
      <c r="D28" s="5">
        <f>106330.20405121951</f>
        <v>106330.20405121951</v>
      </c>
      <c r="E28" s="5">
        <f>113439.62211600004</f>
        <v>113439.62211600004</v>
      </c>
      <c r="F28" s="5">
        <f>115708.41455831996</f>
        <v>115708.41455831996</v>
      </c>
      <c r="G28" s="5">
        <f>118022.58284948644</f>
        <v>118022.58284948644</v>
      </c>
      <c r="H28" s="5">
        <f>120383.03450647613</f>
        <v>120383.03450647613</v>
      </c>
      <c r="I28" s="5">
        <f>122790.6951966057</f>
        <v>122790.6951966057</v>
      </c>
    </row>
    <row r="29" spans="1:9" x14ac:dyDescent="0.25">
      <c r="A29" t="s">
        <v>227</v>
      </c>
      <c r="C29" s="5">
        <f>IF(1=7,6508269.196628766,0)</f>
        <v>0</v>
      </c>
      <c r="D29" s="5">
        <f>IF(2=7,6508269.196628766,0)</f>
        <v>0</v>
      </c>
      <c r="E29" s="5">
        <f>IF(3=7,6508269.196628766,0)</f>
        <v>0</v>
      </c>
      <c r="F29" s="5">
        <f>IF(4=7,6508269.196628766,0)</f>
        <v>0</v>
      </c>
      <c r="G29" s="5">
        <f>IF(5=7,6508269.196628766,0)</f>
        <v>0</v>
      </c>
      <c r="H29" s="5">
        <f>IF(6=7,6508269.196628766,0)</f>
        <v>0</v>
      </c>
      <c r="I29" s="5">
        <f>IF(7=7,6508269.196628766,0)</f>
        <v>6508269.196628766</v>
      </c>
    </row>
    <row r="30" spans="1:9" x14ac:dyDescent="0.25">
      <c r="A30" t="s">
        <v>228</v>
      </c>
      <c r="C30" s="5">
        <f>IF(1=7,2087079.4671336338,0)</f>
        <v>0</v>
      </c>
      <c r="D30" s="5">
        <f>IF(2=7,2087079.4671336338,0)</f>
        <v>0</v>
      </c>
      <c r="E30" s="5">
        <f>IF(3=7,2087079.4671336338,0)</f>
        <v>0</v>
      </c>
      <c r="F30" s="5">
        <f>IF(4=7,2087079.4671336338,0)</f>
        <v>0</v>
      </c>
      <c r="G30" s="5">
        <f>IF(5=7,2087079.4671336338,0)</f>
        <v>0</v>
      </c>
      <c r="H30" s="5">
        <f>IF(6=7,2087079.4671336338,0)</f>
        <v>0</v>
      </c>
      <c r="I30" s="5">
        <f>IF(7=7,2087079.4671336338,0)</f>
        <v>2087079.4671336338</v>
      </c>
    </row>
    <row r="31" spans="1:9" x14ac:dyDescent="0.25">
      <c r="A31" t="s">
        <v>229</v>
      </c>
      <c r="C31" s="5">
        <f>(C17+C18)*(1-gp_pct)</f>
        <v>128654.40000000001</v>
      </c>
      <c r="D31" s="5">
        <f>(D17+D18)*(1-gp_pct)</f>
        <v>0</v>
      </c>
      <c r="E31" s="5">
        <f>(E17+E18)*(1-gp_pct)</f>
        <v>0</v>
      </c>
      <c r="F31" s="5">
        <f>(F17+F18)*(1-gp_pct)</f>
        <v>0</v>
      </c>
      <c r="G31" s="5">
        <f>(G17+G18)*(1-gp_pct)</f>
        <v>0</v>
      </c>
      <c r="H31" s="5">
        <f>(H17+H18)*(1-gp_pct)</f>
        <v>0</v>
      </c>
      <c r="I31" s="5">
        <f>(I17+I18)*(1-gp_pct)</f>
        <v>0</v>
      </c>
    </row>
    <row r="32" spans="1:9" x14ac:dyDescent="0.25">
      <c r="A32" t="s">
        <v>230</v>
      </c>
      <c r="C32" s="5">
        <f>(C17+C18)*gp_pct</f>
        <v>32163.59999999999</v>
      </c>
      <c r="D32" s="5">
        <f>(D17+D18)*gp_pct</f>
        <v>0</v>
      </c>
      <c r="E32" s="5">
        <f>(E17+E18)*gp_pct</f>
        <v>0</v>
      </c>
      <c r="F32" s="5">
        <f>(F17+F18)*gp_pct</f>
        <v>0</v>
      </c>
      <c r="G32" s="5">
        <f>(G17+G18)*gp_pct</f>
        <v>0</v>
      </c>
      <c r="H32" s="5">
        <f>(H17+H18)*gp_pct</f>
        <v>0</v>
      </c>
      <c r="I32" s="5">
        <f>(I17+I18)*gp_pct</f>
        <v>0</v>
      </c>
    </row>
    <row r="33" spans="1:9" x14ac:dyDescent="0.25">
      <c r="A33" s="3" t="s">
        <v>231</v>
      </c>
      <c r="C33" s="5">
        <f>SUM(C27:C32)</f>
        <v>637482.2359609758</v>
      </c>
      <c r="D33" s="5">
        <f>SUM(D27:D32)</f>
        <v>531651.0202560977</v>
      </c>
      <c r="E33" s="5">
        <f>SUM(E27:E32)</f>
        <v>567198.1105800003</v>
      </c>
      <c r="F33" s="5">
        <f>SUM(F27:F32)</f>
        <v>578542.0727916</v>
      </c>
      <c r="G33" s="5">
        <f>SUM(G27:G32)</f>
        <v>590112.9142474323</v>
      </c>
      <c r="H33" s="5">
        <f>SUM(H27:H32)</f>
        <v>601915.1725323808</v>
      </c>
      <c r="I33" s="5">
        <f>SUM(I27:I32)</f>
        <v>9209302.13974543</v>
      </c>
    </row>
    <row r="35" spans="1:9" x14ac:dyDescent="0.25">
      <c r="A35" t="s">
        <v>232</v>
      </c>
      <c r="C35" s="5">
        <f>C16+C17+C18+C25</f>
        <v>637482.2359609758</v>
      </c>
      <c r="D35" s="5">
        <f>D16+D17+D18+D25</f>
        <v>531651.0202560977</v>
      </c>
      <c r="E35" s="5">
        <f>E16+E17+E18+E25</f>
        <v>567198.1105800003</v>
      </c>
      <c r="F35" s="5">
        <f>F16+F17+F18+F25</f>
        <v>578542.0727916</v>
      </c>
      <c r="G35" s="5">
        <f>G16+G17+G18+G25</f>
        <v>590112.9142474323</v>
      </c>
      <c r="H35" s="5">
        <f>H16+H17+H18+H25</f>
        <v>601915.1725323808</v>
      </c>
      <c r="I35" s="5">
        <f>I16+I17+I18+I25</f>
        <v>9209302.13974543</v>
      </c>
    </row>
    <row r="36" spans="1:9" x14ac:dyDescent="0.25">
      <c r="A36" t="s">
        <v>233</v>
      </c>
      <c r="C36" s="5">
        <f>C35-C33</f>
        <v>0</v>
      </c>
      <c r="D36" s="5">
        <f>D35-D33</f>
        <v>0</v>
      </c>
      <c r="E36" s="5">
        <f>E35-E33</f>
        <v>0</v>
      </c>
      <c r="F36" s="5">
        <f>F35-F33</f>
        <v>0</v>
      </c>
      <c r="G36" s="5">
        <f>G35-G33</f>
        <v>0</v>
      </c>
      <c r="H36" s="5">
        <f>H35-H33</f>
        <v>0</v>
      </c>
      <c r="I36" s="5">
        <f>I35-I33</f>
        <v>0</v>
      </c>
    </row>
    <row r="38" spans="1:9" x14ac:dyDescent="0.25">
      <c r="A38" t="s">
        <v>234</v>
      </c>
      <c r="B38" s="5">
        <f>-B9</f>
        <v>-4974351.36969697</v>
      </c>
      <c r="C38" s="5">
        <f>C27+C29+C31</f>
        <v>509985.7887687807</v>
      </c>
      <c r="D38" s="5">
        <f>D27+D29+D31</f>
        <v>425320.81620487815</v>
      </c>
      <c r="E38" s="5">
        <f>E27+E29+E31</f>
        <v>453758.4884640003</v>
      </c>
      <c r="F38" s="5">
        <f>F27+F29+F31</f>
        <v>462833.65823328006</v>
      </c>
      <c r="G38" s="5">
        <f>G27+G29+G31</f>
        <v>472090.3313979458</v>
      </c>
      <c r="H38" s="5">
        <f>H27+H29+H31</f>
        <v>481532.13802590466</v>
      </c>
      <c r="I38" s="5">
        <f>I27+I29+I31</f>
        <v>6999431.977415189</v>
      </c>
    </row>
    <row r="39" spans="1:9" x14ac:dyDescent="0.25">
      <c r="A39" t="s">
        <v>235</v>
      </c>
      <c r="B39" s="5">
        <f>B38</f>
        <v>-4974351.36969697</v>
      </c>
      <c r="C39" s="5">
        <f>B39+C38</f>
        <v>-4464365.58092819</v>
      </c>
      <c r="D39" s="5">
        <f>C39+D38</f>
        <v>-4039044.7647233116</v>
      </c>
      <c r="E39" s="5">
        <f>D39+E38</f>
        <v>-3585286.2762593115</v>
      </c>
      <c r="F39" s="5">
        <f>E39+F38</f>
        <v>-3122452.618026031</v>
      </c>
      <c r="G39" s="5">
        <f>F39+G38</f>
        <v>-2650362.286628085</v>
      </c>
      <c r="H39" s="5">
        <f>G39+H38</f>
        <v>-2168830.1486021806</v>
      </c>
      <c r="I39" s="5">
        <f>H39+I38</f>
        <v>4830601.828813009</v>
      </c>
    </row>
    <row r="42" spans="1:1" x14ac:dyDescent="0.25">
      <c r="A42" s="3" t="s">
        <v>236</v>
      </c>
    </row>
    <row r="43" spans="2:9" x14ac:dyDescent="0.25">
      <c r="B43" s="3" t="s">
        <v>216</v>
      </c>
      <c r="C43" s="3" t="s">
        <v>152</v>
      </c>
      <c r="D43" s="3" t="s">
        <v>153</v>
      </c>
      <c r="E43" s="3" t="s">
        <v>154</v>
      </c>
      <c r="F43" s="3" t="s">
        <v>155</v>
      </c>
      <c r="G43" s="3" t="s">
        <v>156</v>
      </c>
      <c r="H43" s="3" t="s">
        <v>157</v>
      </c>
      <c r="I43" s="3" t="s">
        <v>158</v>
      </c>
    </row>
    <row r="44" spans="1:2" x14ac:dyDescent="0.25">
      <c r="A44" t="s">
        <v>217</v>
      </c>
      <c r="B44" s="5">
        <f>-IF(Assumptions!$C$47&gt;0,tpc,cost_base)</f>
        <v>-6118928.571428572</v>
      </c>
    </row>
    <row r="45" spans="1:2" x14ac:dyDescent="0.25">
      <c r="A45" t="s">
        <v>15</v>
      </c>
      <c r="B45" s="5">
        <f>-IF(B47=0,0,(Assumptions!$C$51+Assumptions!$C$52+Assumptions!$C$54+Assumptions!$C$55)*B47+Assumptions!$C$53*units_c+Assumptions!$C$56)</f>
        <v>-78740.91964285714</v>
      </c>
    </row>
    <row r="46" spans="1:2" x14ac:dyDescent="0.25">
      <c r="A46" t="s">
        <v>17</v>
      </c>
      <c r="B46" s="5">
        <f>-vat_float</f>
        <v>-160818</v>
      </c>
    </row>
    <row r="47" spans="1:2" x14ac:dyDescent="0.25">
      <c r="A47" t="s">
        <v>218</v>
      </c>
      <c r="B47" s="5">
        <f>Assumptions!$C$47*tpc</f>
        <v>3365410.7142857146</v>
      </c>
    </row>
    <row r="48" spans="1:2" x14ac:dyDescent="0.25">
      <c r="A48" t="s">
        <v>219</v>
      </c>
      <c r="B48" s="5">
        <f>(-(B44+B47+B45)-B46)*(1-gp_pct)</f>
        <v>2394461.4214285715</v>
      </c>
    </row>
    <row r="49" spans="1:2" x14ac:dyDescent="0.25">
      <c r="A49" t="s">
        <v>220</v>
      </c>
      <c r="B49" s="5">
        <f>(-(B44+B47+B45)-B46)*gp_pct</f>
        <v>598615.3553571429</v>
      </c>
    </row>
    <row r="50" spans="1:2" x14ac:dyDescent="0.25">
      <c r="A50" s="3" t="s">
        <v>221</v>
      </c>
      <c r="B50" s="5">
        <f>SUM(B44:B49)</f>
        <v>0</v>
      </c>
    </row>
    <row r="52" spans="1:9" x14ac:dyDescent="0.25">
      <c r="A52" t="s">
        <v>186</v>
      </c>
      <c r="C52" s="5">
        <f>'P&amp;L'!C31</f>
        <v>476664.2359609758</v>
      </c>
      <c r="D52" s="5">
        <f>'P&amp;L'!D31</f>
        <v>531651.0202560977</v>
      </c>
      <c r="E52" s="5">
        <f>'P&amp;L'!E31</f>
        <v>567198.1105800003</v>
      </c>
      <c r="F52" s="5">
        <f>'P&amp;L'!F31</f>
        <v>578542.0727916</v>
      </c>
      <c r="G52" s="5">
        <f>'P&amp;L'!G31</f>
        <v>590112.9142474323</v>
      </c>
      <c r="H52" s="5">
        <f>'P&amp;L'!H31</f>
        <v>601915.1725323808</v>
      </c>
      <c r="I52" s="5">
        <f>'P&amp;L'!I31</f>
        <v>613953.4759830285</v>
      </c>
    </row>
    <row r="53" spans="1:9" x14ac:dyDescent="0.25">
      <c r="A53" t="s">
        <v>191</v>
      </c>
      <c r="C53" s="5">
        <f>IF(B47=0,0,CUMIPMT(Assumptions!$C$48/12,Assumptions!$C$49*12,B47,1,12,0))</f>
        <v>-90243.41951694002</v>
      </c>
      <c r="D53" s="5">
        <f>IF(B47=0,0,CUMIPMT(Assumptions!$C$48/12,Assumptions!$C$49*12,B47,13,24,0))</f>
        <v>-85124.23677792613</v>
      </c>
      <c r="E53" s="5">
        <f>IF(B47=0,0,CUMIPMT(Assumptions!$C$48/12,Assumptions!$C$49*12,B47,25,36,0))</f>
        <v>-79862.48850573326</v>
      </c>
      <c r="F53" s="5">
        <f>IF(B47=0,0,CUMIPMT(Assumptions!$C$48/12,Assumptions!$C$49*12,B47,37,48,0))</f>
        <v>-74454.20435347469</v>
      </c>
      <c r="G53" s="5">
        <f>IF(B47=0,0,CUMIPMT(Assumptions!$C$48/12,Assumptions!$C$49*12,B47,49,60,0))</f>
        <v>-68895.30340297725</v>
      </c>
      <c r="H53" s="5">
        <f>IF(B47=0,0,CUMIPMT(Assumptions!$C$48/12,Assumptions!$C$49*12,B47,61,72,0))</f>
        <v>-63181.59108545107</v>
      </c>
      <c r="I53" s="5">
        <f>IF(B47=0,0,CUMIPMT(Assumptions!$C$48/12,Assumptions!$C$49*12,B47,73,84,0))</f>
        <v>-57308.75601640222</v>
      </c>
    </row>
    <row r="54" spans="1:9" x14ac:dyDescent="0.25">
      <c r="A54" t="s">
        <v>192</v>
      </c>
      <c r="C54" s="5">
        <f>IF(B47=0,0,CUMPRINC(Assumptions!$C$48/12,Assumptions!$C$49*12,B47,1,12,0))</f>
        <v>-183817.44402782075</v>
      </c>
      <c r="D54" s="5">
        <f>IF(B47=0,0,CUMPRINC(Assumptions!$C$48/12,Assumptions!$C$49*12,B47,13,24,0))</f>
        <v>-188936.62676683464</v>
      </c>
      <c r="E54" s="5">
        <f>IF(B47=0,0,CUMPRINC(Assumptions!$C$48/12,Assumptions!$C$49*12,B47,25,36,0))</f>
        <v>-194198.3750390275</v>
      </c>
      <c r="F54" s="5">
        <f>IF(B47=0,0,CUMPRINC(Assumptions!$C$48/12,Assumptions!$C$49*12,B47,37,48,0))</f>
        <v>-199606.65919128613</v>
      </c>
      <c r="G54" s="5">
        <f>IF(B47=0,0,CUMPRINC(Assumptions!$C$48/12,Assumptions!$C$49*12,B47,49,60,0))</f>
        <v>-205165.56014178356</v>
      </c>
      <c r="H54" s="5">
        <f>IF(B47=0,0,CUMPRINC(Assumptions!$C$48/12,Assumptions!$C$49*12,B47,61,72,0))</f>
        <v>-210879.27245930972</v>
      </c>
      <c r="I54" s="5">
        <f>IF(B47=0,0,CUMPRINC(Assumptions!$C$48/12,Assumptions!$C$49*12,B47,73,84,0))</f>
        <v>-216752.10752835858</v>
      </c>
    </row>
    <row r="55" spans="1:9" x14ac:dyDescent="0.25">
      <c r="A55" t="s">
        <v>222</v>
      </c>
      <c r="C55" s="5">
        <f>C52+C53+C54</f>
        <v>202603.37241621505</v>
      </c>
      <c r="D55" s="5">
        <f>D52+D53+D54</f>
        <v>257590.15671133692</v>
      </c>
      <c r="E55" s="5">
        <f>E52+E53+E54</f>
        <v>293137.2470352396</v>
      </c>
      <c r="F55" s="5">
        <f>F52+F53+F54</f>
        <v>304481.2092468392</v>
      </c>
      <c r="G55" s="5">
        <f>G52+G53+G54</f>
        <v>316052.05070267146</v>
      </c>
      <c r="H55" s="5">
        <f>H52+H53+H54</f>
        <v>327854.30898762</v>
      </c>
      <c r="I55" s="5">
        <f>I52+I53+I54</f>
        <v>339892.6124382677</v>
      </c>
    </row>
    <row r="56" spans="1:9" x14ac:dyDescent="0.25">
      <c r="A56" t="s">
        <v>223</v>
      </c>
      <c r="C56" s="5">
        <f>0</f>
        <v>0</v>
      </c>
      <c r="D56" s="5">
        <f>0</f>
        <v>0</v>
      </c>
      <c r="E56" s="5">
        <f>0</f>
        <v>0</v>
      </c>
      <c r="F56" s="5">
        <f>0</f>
        <v>0</v>
      </c>
      <c r="G56" s="5">
        <f>0</f>
        <v>0</v>
      </c>
      <c r="H56" s="5">
        <f>0</f>
        <v>0</v>
      </c>
      <c r="I56" s="5">
        <f>0</f>
        <v>0</v>
      </c>
    </row>
    <row r="57" spans="1:9" x14ac:dyDescent="0.25">
      <c r="A57" t="s">
        <v>224</v>
      </c>
      <c r="C57" s="5">
        <f>IF(1=MIN(MAX(1,ROUNDUP(vat_months/12,0)),7),-B46,0)</f>
        <v>160818</v>
      </c>
      <c r="D57" s="5">
        <f>IF(2=MIN(MAX(1,ROUNDUP(vat_months/12,0)),7),-B46,0)</f>
        <v>0</v>
      </c>
      <c r="E57" s="5">
        <f>IF(3=MIN(MAX(1,ROUNDUP(vat_months/12,0)),7),-B46,0)</f>
        <v>0</v>
      </c>
      <c r="F57" s="5">
        <f>IF(4=MIN(MAX(1,ROUNDUP(vat_months/12,0)),7),-B46,0)</f>
        <v>0</v>
      </c>
      <c r="G57" s="5">
        <f>IF(5=MIN(MAX(1,ROUNDUP(vat_months/12,0)),7),-B46,0)</f>
        <v>0</v>
      </c>
      <c r="H57" s="5">
        <f>IF(6=MIN(MAX(1,ROUNDUP(vat_months/12,0)),7),-B46,0)</f>
        <v>0</v>
      </c>
      <c r="I57" s="5">
        <f>IF(7=MIN(MAX(1,ROUNDUP(vat_months/12,0)),7),-B46,0)</f>
        <v>0</v>
      </c>
    </row>
    <row r="58" spans="1:9" x14ac:dyDescent="0.25">
      <c r="A58" t="s">
        <v>225</v>
      </c>
      <c r="C58" s="5">
        <f>C55+C56+C57</f>
        <v>363421.372416215</v>
      </c>
      <c r="D58" s="5">
        <f>C58+D55+D56+D57</f>
        <v>621011.5291275519</v>
      </c>
      <c r="E58" s="5">
        <f>D58+E55+E56+E57</f>
        <v>914148.7761627915</v>
      </c>
      <c r="F58" s="5">
        <f>E58+F55+F56+F57</f>
        <v>1218629.9854096307</v>
      </c>
      <c r="G58" s="5">
        <f>F58+G55+G56+G57</f>
        <v>1534682.0361123022</v>
      </c>
      <c r="H58" s="5">
        <f>G58+H55+H56+H57</f>
        <v>1862536.3450999223</v>
      </c>
      <c r="I58" s="5">
        <f>H58+I55+I56+I57</f>
        <v>2202428.95753819</v>
      </c>
    </row>
    <row r="59" spans="1:9" x14ac:dyDescent="0.25">
      <c r="A59" t="s">
        <v>226</v>
      </c>
      <c r="C59" s="7">
        <f>IF((C53+C54)=0,0,-C52/(C53+C54))</f>
        <v>1.7392641539390212</v>
      </c>
      <c r="D59" s="7">
        <f>IF((D53+D54)=0,0,-D52/(D53+D54))</f>
        <v>1.9399012809768303</v>
      </c>
      <c r="E59" s="7">
        <f>IF((E53+E54)=0,0,-E52/(E53+E54))</f>
        <v>2.0696063759113246</v>
      </c>
      <c r="F59" s="7">
        <f>IF((F53+F54)=0,0,-F52/(F53+F54))</f>
        <v>2.110998503429549</v>
      </c>
      <c r="G59" s="7">
        <f>IF((G53+G54)=0,0,-G52/(G53+G54))</f>
        <v>2.1532184734981414</v>
      </c>
      <c r="H59" s="7">
        <f>IF((H53+H54)=0,0,-H52/(H53+H54))</f>
        <v>2.196282842968104</v>
      </c>
      <c r="I59" s="7">
        <f>IF((I53+I54)=0,0,-I52/(I53+I54))</f>
        <v>2.2402084998274665</v>
      </c>
    </row>
    <row r="61" spans="1:9" x14ac:dyDescent="0.25">
      <c r="A61" t="s">
        <v>26</v>
      </c>
      <c r="C61" s="5">
        <f>IF(1=7,'P&amp;L'!I31/cap,0)</f>
        <v>0</v>
      </c>
      <c r="D61" s="5">
        <f>IF(2=7,'P&amp;L'!I31/cap,0)</f>
        <v>0</v>
      </c>
      <c r="E61" s="5">
        <f>IF(3=7,'P&amp;L'!I31/cap,0)</f>
        <v>0</v>
      </c>
      <c r="F61" s="5">
        <f>IF(4=7,'P&amp;L'!I31/cap,0)</f>
        <v>0</v>
      </c>
      <c r="G61" s="5">
        <f>IF(5=7,'P&amp;L'!I31/cap,0)</f>
        <v>0</v>
      </c>
      <c r="H61" s="5">
        <f>IF(6=7,'P&amp;L'!I31/cap,0)</f>
        <v>0</v>
      </c>
      <c r="I61" s="5">
        <f>IF(7=7,'P&amp;L'!I31/cap,0)</f>
        <v>8770763.942614693</v>
      </c>
    </row>
    <row r="62" spans="1:9" x14ac:dyDescent="0.25">
      <c r="A62" t="s">
        <v>27</v>
      </c>
      <c r="C62" s="5">
        <f>-C61*sell_pct</f>
        <v>0</v>
      </c>
      <c r="D62" s="5">
        <f>-D61*sell_pct</f>
        <v>0</v>
      </c>
      <c r="E62" s="5">
        <f>-E61*sell_pct</f>
        <v>0</v>
      </c>
      <c r="F62" s="5">
        <f>-F61*sell_pct</f>
        <v>0</v>
      </c>
      <c r="G62" s="5">
        <f>-G61*sell_pct</f>
        <v>0</v>
      </c>
      <c r="H62" s="5">
        <f>-H61*sell_pct</f>
        <v>0</v>
      </c>
      <c r="I62" s="5">
        <f>-I61*sell_pct</f>
        <v>-175415.27885229327</v>
      </c>
    </row>
    <row r="63" spans="1:9" x14ac:dyDescent="0.25">
      <c r="A63" t="s">
        <v>28</v>
      </c>
      <c r="C63" s="5">
        <f>IF(1&lt;7,0,IF(B47=0,0,-(B47+CUMPRINC(Assumptions!$C$48/12,Assumptions!$C$49*12,B47,1,84,0))))</f>
        <v>0</v>
      </c>
      <c r="D63" s="5">
        <f>IF(2&lt;7,0,IF(B47=0,0,-(B47+CUMPRINC(Assumptions!$C$48/12,Assumptions!$C$49*12,B47,1,84,0))))</f>
        <v>0</v>
      </c>
      <c r="E63" s="5">
        <f>IF(3&lt;7,0,IF(B47=0,0,-(B47+CUMPRINC(Assumptions!$C$48/12,Assumptions!$C$49*12,B47,1,84,0))))</f>
        <v>0</v>
      </c>
      <c r="F63" s="5">
        <f>IF(4&lt;7,0,IF(B47=0,0,-(B47+CUMPRINC(Assumptions!$C$48/12,Assumptions!$C$49*12,B47,1,84,0))))</f>
        <v>0</v>
      </c>
      <c r="G63" s="5">
        <f>IF(5&lt;7,0,IF(B47=0,0,-(B47+CUMPRINC(Assumptions!$C$48/12,Assumptions!$C$49*12,B47,1,84,0))))</f>
        <v>0</v>
      </c>
      <c r="H63" s="5">
        <f>IF(6&lt;7,0,IF(B47=0,0,-(B47+CUMPRINC(Assumptions!$C$48/12,Assumptions!$C$49*12,B47,1,84,0))))</f>
        <v>0</v>
      </c>
      <c r="I63" s="5">
        <f>IF(7&lt;7,0,IF(B47=0,0,-(B47+CUMPRINC(Assumptions!$C$48/12,Assumptions!$C$49*12,B47,1,84,0))))</f>
        <v>-1966054.6691312923</v>
      </c>
    </row>
    <row r="64" spans="1:9" x14ac:dyDescent="0.25">
      <c r="A64" t="s">
        <v>29</v>
      </c>
      <c r="C64" s="5">
        <f>C61+C62+C63</f>
        <v>0</v>
      </c>
      <c r="D64" s="5">
        <f>D61+D62+D63</f>
        <v>0</v>
      </c>
      <c r="E64" s="5">
        <f>E61+E62+E63</f>
        <v>0</v>
      </c>
      <c r="F64" s="5">
        <f>F61+F62+F63</f>
        <v>0</v>
      </c>
      <c r="G64" s="5">
        <f>G61+G62+G63</f>
        <v>0</v>
      </c>
      <c r="H64" s="5">
        <f>H61+H62+H63</f>
        <v>0</v>
      </c>
      <c r="I64" s="5">
        <f>I61+I62+I63</f>
        <v>6629293.994631108</v>
      </c>
    </row>
    <row r="66" spans="1:9" x14ac:dyDescent="0.25">
      <c r="A66" t="s">
        <v>201</v>
      </c>
      <c r="C66" s="5">
        <f>162082.69793297202</f>
        <v>162082.69793297202</v>
      </c>
      <c r="D66" s="5">
        <f>206072.12536906952</f>
        <v>206072.12536906952</v>
      </c>
      <c r="E66" s="5">
        <f>234509.79762819165</f>
        <v>234509.79762819165</v>
      </c>
      <c r="F66" s="5">
        <f>243584.96739747137</f>
        <v>243584.96739747137</v>
      </c>
      <c r="G66" s="5">
        <f>252841.64056213715</f>
        <v>252841.64056213715</v>
      </c>
      <c r="H66" s="5">
        <f>262283.44719009596</f>
        <v>262283.44719009596</v>
      </c>
      <c r="I66" s="5">
        <f>271914.08995061414</f>
        <v>271914.08995061414</v>
      </c>
    </row>
    <row r="67" spans="1:9" x14ac:dyDescent="0.25">
      <c r="A67" t="s">
        <v>202</v>
      </c>
      <c r="C67" s="5">
        <f>40520.67448324303</f>
        <v>40520.67448324303</v>
      </c>
      <c r="D67" s="5">
        <f>51518.03134226741</f>
        <v>51518.03134226741</v>
      </c>
      <c r="E67" s="5">
        <f>58627.44940704794</f>
        <v>58627.44940704794</v>
      </c>
      <c r="F67" s="5">
        <f>60896.241849367856</f>
        <v>60896.241849367856</v>
      </c>
      <c r="G67" s="5">
        <f>63210.41014053431</f>
        <v>63210.41014053431</v>
      </c>
      <c r="H67" s="5">
        <f>65570.86179752403</f>
        <v>65570.86179752403</v>
      </c>
      <c r="I67" s="5">
        <f>67978.52248765354</f>
        <v>67978.52248765354</v>
      </c>
    </row>
    <row r="68" spans="1:9" x14ac:dyDescent="0.25">
      <c r="A68" t="s">
        <v>227</v>
      </c>
      <c r="C68" s="5">
        <f>IF(1=7,4565752.692978476,0)</f>
        <v>0</v>
      </c>
      <c r="D68" s="5">
        <f>IF(2=7,4565752.692978476,0)</f>
        <v>0</v>
      </c>
      <c r="E68" s="5">
        <f>IF(3=7,4565752.692978476,0)</f>
        <v>0</v>
      </c>
      <c r="F68" s="5">
        <f>IF(4=7,4565752.692978476,0)</f>
        <v>0</v>
      </c>
      <c r="G68" s="5">
        <f>IF(5=7,4565752.692978476,0)</f>
        <v>0</v>
      </c>
      <c r="H68" s="5">
        <f>IF(6=7,4565752.692978476,0)</f>
        <v>0</v>
      </c>
      <c r="I68" s="5">
        <f>IF(7=7,4565752.692978476,0)</f>
        <v>4565752.692978476</v>
      </c>
    </row>
    <row r="69" spans="1:9" x14ac:dyDescent="0.25">
      <c r="A69" t="s">
        <v>228</v>
      </c>
      <c r="C69" s="5">
        <f>IF(1=7,2063541.3016526317,0)</f>
        <v>0</v>
      </c>
      <c r="D69" s="5">
        <f>IF(2=7,2063541.3016526317,0)</f>
        <v>0</v>
      </c>
      <c r="E69" s="5">
        <f>IF(3=7,2063541.3016526317,0)</f>
        <v>0</v>
      </c>
      <c r="F69" s="5">
        <f>IF(4=7,2063541.3016526317,0)</f>
        <v>0</v>
      </c>
      <c r="G69" s="5">
        <f>IF(5=7,2063541.3016526317,0)</f>
        <v>0</v>
      </c>
      <c r="H69" s="5">
        <f>IF(6=7,2063541.3016526317,0)</f>
        <v>0</v>
      </c>
      <c r="I69" s="5">
        <f>IF(7=7,2063541.3016526317,0)</f>
        <v>2063541.3016526317</v>
      </c>
    </row>
    <row r="70" spans="1:9" x14ac:dyDescent="0.25">
      <c r="A70" t="s">
        <v>229</v>
      </c>
      <c r="C70" s="5">
        <f>(C56+C57)*(1-gp_pct)</f>
        <v>128654.4</v>
      </c>
      <c r="D70" s="5">
        <f>(D56+D57)*(1-gp_pct)</f>
        <v>0</v>
      </c>
      <c r="E70" s="5">
        <f>(E56+E57)*(1-gp_pct)</f>
        <v>0</v>
      </c>
      <c r="F70" s="5">
        <f>(F56+F57)*(1-gp_pct)</f>
        <v>0</v>
      </c>
      <c r="G70" s="5">
        <f>(G56+G57)*(1-gp_pct)</f>
        <v>0</v>
      </c>
      <c r="H70" s="5">
        <f>(H56+H57)*(1-gp_pct)</f>
        <v>0</v>
      </c>
      <c r="I70" s="5">
        <f>(I56+I57)*(1-gp_pct)</f>
        <v>0</v>
      </c>
    </row>
    <row r="71" spans="1:9" x14ac:dyDescent="0.25">
      <c r="A71" t="s">
        <v>230</v>
      </c>
      <c r="C71" s="5">
        <f>(C56+C57)*gp_pct</f>
        <v>32163.60000000001</v>
      </c>
      <c r="D71" s="5">
        <f>(D56+D57)*gp_pct</f>
        <v>0</v>
      </c>
      <c r="E71" s="5">
        <f>(E56+E57)*gp_pct</f>
        <v>0</v>
      </c>
      <c r="F71" s="5">
        <f>(F56+F57)*gp_pct</f>
        <v>0</v>
      </c>
      <c r="G71" s="5">
        <f>(G56+G57)*gp_pct</f>
        <v>0</v>
      </c>
      <c r="H71" s="5">
        <f>(H56+H57)*gp_pct</f>
        <v>0</v>
      </c>
      <c r="I71" s="5">
        <f>(I56+I57)*gp_pct</f>
        <v>0</v>
      </c>
    </row>
    <row r="72" spans="1:9" x14ac:dyDescent="0.25">
      <c r="A72" s="3" t="s">
        <v>231</v>
      </c>
      <c r="C72" s="5">
        <f>SUM(C66:C71)</f>
        <v>363421.372416215</v>
      </c>
      <c r="D72" s="5">
        <f>SUM(D66:D71)</f>
        <v>257590.15671133692</v>
      </c>
      <c r="E72" s="5">
        <f>SUM(E66:E71)</f>
        <v>293137.2470352396</v>
      </c>
      <c r="F72" s="5">
        <f>SUM(F66:F71)</f>
        <v>304481.2092468392</v>
      </c>
      <c r="G72" s="5">
        <f>SUM(G66:G71)</f>
        <v>316052.05070267146</v>
      </c>
      <c r="H72" s="5">
        <f>SUM(H66:H71)</f>
        <v>327854.30898762</v>
      </c>
      <c r="I72" s="5">
        <f>SUM(I66:I71)</f>
        <v>6969186.607069376</v>
      </c>
    </row>
    <row r="74" spans="1:9" x14ac:dyDescent="0.25">
      <c r="A74" t="s">
        <v>232</v>
      </c>
      <c r="C74" s="5">
        <f>C55+C56+C57+C64</f>
        <v>363421.372416215</v>
      </c>
      <c r="D74" s="5">
        <f>D55+D56+D57+D64</f>
        <v>257590.15671133692</v>
      </c>
      <c r="E74" s="5">
        <f>E55+E56+E57+E64</f>
        <v>293137.2470352396</v>
      </c>
      <c r="F74" s="5">
        <f>F55+F56+F57+F64</f>
        <v>304481.2092468392</v>
      </c>
      <c r="G74" s="5">
        <f>G55+G56+G57+G64</f>
        <v>316052.05070267146</v>
      </c>
      <c r="H74" s="5">
        <f>H55+H56+H57+H64</f>
        <v>327854.30898762</v>
      </c>
      <c r="I74" s="5">
        <f>I55+I56+I57+I64</f>
        <v>6969186.607069376</v>
      </c>
    </row>
    <row r="75" spans="1:9" x14ac:dyDescent="0.25">
      <c r="A75" t="s">
        <v>233</v>
      </c>
      <c r="C75" s="5">
        <f>C74-C72</f>
        <v>0</v>
      </c>
      <c r="D75" s="5">
        <f>D74-D72</f>
        <v>0</v>
      </c>
      <c r="E75" s="5">
        <f>E74-E72</f>
        <v>0</v>
      </c>
      <c r="F75" s="5">
        <f>F74-F72</f>
        <v>0</v>
      </c>
      <c r="G75" s="5">
        <f>G74-G72</f>
        <v>0</v>
      </c>
      <c r="H75" s="5">
        <f>H74-H72</f>
        <v>0</v>
      </c>
      <c r="I75" s="5">
        <f>I74-I72</f>
        <v>0</v>
      </c>
    </row>
    <row r="77" spans="1:9" x14ac:dyDescent="0.25">
      <c r="A77" t="s">
        <v>234</v>
      </c>
      <c r="B77" s="5">
        <f>-B48</f>
        <v>-2394461.4214285715</v>
      </c>
      <c r="C77" s="5">
        <f>C66+C68+C70</f>
        <v>290737.097932972</v>
      </c>
      <c r="D77" s="5">
        <f>D66+D68+D70</f>
        <v>206072.12536906952</v>
      </c>
      <c r="E77" s="5">
        <f>E66+E68+E70</f>
        <v>234509.79762819165</v>
      </c>
      <c r="F77" s="5">
        <f>F66+F68+F70</f>
        <v>243584.96739747137</v>
      </c>
      <c r="G77" s="5">
        <f>G66+G68+G70</f>
        <v>252841.64056213715</v>
      </c>
      <c r="H77" s="5">
        <f>H66+H68+H70</f>
        <v>262283.44719009596</v>
      </c>
      <c r="I77" s="5">
        <f>I66+I68+I70</f>
        <v>4837666.782929091</v>
      </c>
    </row>
    <row r="78" spans="1:9" x14ac:dyDescent="0.25">
      <c r="A78" t="s">
        <v>235</v>
      </c>
      <c r="B78" s="5">
        <f>B77</f>
        <v>-2394461.4214285715</v>
      </c>
      <c r="C78" s="5">
        <f>B78+C77</f>
        <v>-2103724.3234955994</v>
      </c>
      <c r="D78" s="5">
        <f>C78+D77</f>
        <v>-1897652.1981265298</v>
      </c>
      <c r="E78" s="5">
        <f>D78+E77</f>
        <v>-1663142.400498338</v>
      </c>
      <c r="F78" s="5">
        <f>E78+F77</f>
        <v>-1419557.4331008666</v>
      </c>
      <c r="G78" s="5">
        <f>F78+G77</f>
        <v>-1166715.7925387295</v>
      </c>
      <c r="H78" s="5">
        <f>G78+H77</f>
        <v>-904432.3453486336</v>
      </c>
      <c r="I78" s="5">
        <f>H78+I77</f>
        <v>3933234.437580457</v>
      </c>
    </row>
    <row r="81" spans="1:1" x14ac:dyDescent="0.25">
      <c r="A81" s="3" t="s">
        <v>237</v>
      </c>
    </row>
    <row r="82" spans="2:9" x14ac:dyDescent="0.25">
      <c r="B82" s="3" t="s">
        <v>216</v>
      </c>
      <c r="C82" s="3" t="s">
        <v>152</v>
      </c>
      <c r="D82" s="3" t="s">
        <v>153</v>
      </c>
      <c r="E82" s="3" t="s">
        <v>154</v>
      </c>
      <c r="F82" s="3" t="s">
        <v>155</v>
      </c>
      <c r="G82" s="3" t="s">
        <v>156</v>
      </c>
      <c r="H82" s="3" t="s">
        <v>157</v>
      </c>
      <c r="I82" s="3" t="s">
        <v>158</v>
      </c>
    </row>
    <row r="83" spans="1:2" x14ac:dyDescent="0.25">
      <c r="A83" t="s">
        <v>217</v>
      </c>
      <c r="B83" s="5">
        <f>-IF(Assumptions!$D$47&gt;0,tpc,cost_base)</f>
        <v>-6118928.571428573</v>
      </c>
    </row>
    <row r="84" spans="1:2" x14ac:dyDescent="0.25">
      <c r="A84" t="s">
        <v>15</v>
      </c>
      <c r="B84" s="5">
        <f>-IF(B86=0,0,(Assumptions!$D$51+Assumptions!$D$52+Assumptions!$D$54+Assumptions!$D$55)*B86+Assumptions!$D$53*units_c+Assumptions!$D$56)</f>
        <v>-91284.72321428571</v>
      </c>
    </row>
    <row r="85" spans="1:2" x14ac:dyDescent="0.25">
      <c r="A85" t="s">
        <v>17</v>
      </c>
      <c r="B85" s="5">
        <f>-vat_float</f>
        <v>-160818</v>
      </c>
    </row>
    <row r="86" spans="1:2" x14ac:dyDescent="0.25">
      <c r="A86" t="s">
        <v>218</v>
      </c>
      <c r="B86" s="5">
        <f>Assumptions!$D$47*tpc</f>
        <v>3977303.571428572</v>
      </c>
    </row>
    <row r="87" spans="1:2" x14ac:dyDescent="0.25">
      <c r="A87" t="s">
        <v>219</v>
      </c>
      <c r="B87" s="5">
        <f>(-(B83+B86+B84)-B85)*(1-gp_pct)</f>
        <v>1914982.1785714286</v>
      </c>
    </row>
    <row r="88" spans="1:2" x14ac:dyDescent="0.25">
      <c r="A88" t="s">
        <v>220</v>
      </c>
      <c r="B88" s="5">
        <f>(-(B83+B86+B84)-B85)*gp_pct</f>
        <v>478745.54464285716</v>
      </c>
    </row>
    <row r="89" spans="1:2" x14ac:dyDescent="0.25">
      <c r="A89" s="3" t="s">
        <v>221</v>
      </c>
      <c r="B89" s="5">
        <f>SUM(B83:B88)</f>
        <v>0</v>
      </c>
    </row>
    <row r="91" spans="1:9" x14ac:dyDescent="0.25">
      <c r="A91" t="s">
        <v>186</v>
      </c>
      <c r="C91" s="5">
        <f>'P&amp;L'!C31</f>
        <v>476664.2359609758</v>
      </c>
      <c r="D91" s="5">
        <f>'P&amp;L'!D31</f>
        <v>531651.0202560977</v>
      </c>
      <c r="E91" s="5">
        <f>'P&amp;L'!E31</f>
        <v>567198.1105800003</v>
      </c>
      <c r="F91" s="5">
        <f>'P&amp;L'!F31</f>
        <v>578542.0727916</v>
      </c>
      <c r="G91" s="5">
        <f>'P&amp;L'!G31</f>
        <v>590112.9142474323</v>
      </c>
      <c r="H91" s="5">
        <f>'P&amp;L'!H31</f>
        <v>601915.1725323808</v>
      </c>
      <c r="I91" s="5">
        <f>'P&amp;L'!I31</f>
        <v>613953.4759830285</v>
      </c>
    </row>
    <row r="92" spans="1:9" x14ac:dyDescent="0.25">
      <c r="A92" t="s">
        <v>191</v>
      </c>
      <c r="C92" s="5">
        <f>IF(B86=0,0,CUMIPMT(Assumptions!$D$48/12,Assumptions!$D$49*12,B86,1,12,0))</f>
        <v>-106651.3139745655</v>
      </c>
      <c r="D92" s="5">
        <f>IF(B86=0,0,CUMIPMT(Assumptions!$D$48/12,Assumptions!$D$49*12,B86,13,24,0))</f>
        <v>-100601.37073754905</v>
      </c>
      <c r="E92" s="5">
        <f>IF(B86=0,0,CUMIPMT(Assumptions!$D$48/12,Assumptions!$D$49*12,B86,25,36,0))</f>
        <v>-94382.94096132112</v>
      </c>
      <c r="F92" s="5">
        <f>IF(B86=0,0,CUMIPMT(Assumptions!$D$48/12,Assumptions!$D$49*12,B86,37,48,0))</f>
        <v>-87991.33241774284</v>
      </c>
      <c r="G92" s="5">
        <f>IF(B86=0,0,CUMIPMT(Assumptions!$D$48/12,Assumptions!$D$49*12,B86,49,60,0))</f>
        <v>-81421.7222035186</v>
      </c>
      <c r="H92" s="5">
        <f>IF(B86=0,0,CUMIPMT(Assumptions!$D$48/12,Assumptions!$D$49*12,B86,61,72,0))</f>
        <v>-74669.15310098766</v>
      </c>
      <c r="I92" s="5">
        <f>IF(B86=0,0,CUMIPMT(Assumptions!$D$48/12,Assumptions!$D$49*12,B86,73,84,0))</f>
        <v>-67728.52983756628</v>
      </c>
    </row>
    <row r="93" spans="1:9" x14ac:dyDescent="0.25">
      <c r="A93" t="s">
        <v>192</v>
      </c>
      <c r="C93" s="5">
        <f>IF(B86=0,0,CUMPRINC(Assumptions!$D$48/12,Assumptions!$D$49*12,B86,1,12,0))</f>
        <v>-217238.7974874245</v>
      </c>
      <c r="D93" s="5">
        <f>IF(B86=0,0,CUMPRINC(Assumptions!$D$48/12,Assumptions!$D$49*12,B86,13,24,0))</f>
        <v>-223288.74072444098</v>
      </c>
      <c r="E93" s="5">
        <f>IF(B86=0,0,CUMPRINC(Assumptions!$D$48/12,Assumptions!$D$49*12,B86,25,36,0))</f>
        <v>-229507.17050066887</v>
      </c>
      <c r="F93" s="5">
        <f>IF(B86=0,0,CUMPRINC(Assumptions!$D$48/12,Assumptions!$D$49*12,B86,37,48,0))</f>
        <v>-235898.77904424715</v>
      </c>
      <c r="G93" s="5">
        <f>IF(B86=0,0,CUMPRINC(Assumptions!$D$48/12,Assumptions!$D$49*12,B86,49,60,0))</f>
        <v>-242468.38925847143</v>
      </c>
      <c r="H93" s="5">
        <f>IF(B86=0,0,CUMPRINC(Assumptions!$D$48/12,Assumptions!$D$49*12,B86,61,72,0))</f>
        <v>-249220.95836100233</v>
      </c>
      <c r="I93" s="5">
        <f>IF(B86=0,0,CUMPRINC(Assumptions!$D$48/12,Assumptions!$D$49*12,B86,73,84,0))</f>
        <v>-256161.58162442374</v>
      </c>
    </row>
    <row r="94" spans="1:9" x14ac:dyDescent="0.25">
      <c r="A94" t="s">
        <v>222</v>
      </c>
      <c r="C94" s="5">
        <f>C91+C92+C93</f>
        <v>152774.12449898577</v>
      </c>
      <c r="D94" s="5">
        <f>D91+D92+D93</f>
        <v>207760.90879410764</v>
      </c>
      <c r="E94" s="5">
        <f>E91+E92+E93</f>
        <v>243307.99911801034</v>
      </c>
      <c r="F94" s="5">
        <f>F91+F92+F93</f>
        <v>254651.96132961006</v>
      </c>
      <c r="G94" s="5">
        <f>G91+G92+G93</f>
        <v>266222.8027854422</v>
      </c>
      <c r="H94" s="5">
        <f>H91+H92+H93</f>
        <v>278025.0610703908</v>
      </c>
      <c r="I94" s="5">
        <f>I91+I92+I93</f>
        <v>290063.3645210385</v>
      </c>
    </row>
    <row r="95" spans="1:9" x14ac:dyDescent="0.25">
      <c r="A95" t="s">
        <v>223</v>
      </c>
      <c r="C95" s="5">
        <f>0</f>
        <v>0</v>
      </c>
      <c r="D95" s="5">
        <f>0</f>
        <v>0</v>
      </c>
      <c r="E95" s="5">
        <f>0</f>
        <v>0</v>
      </c>
      <c r="F95" s="5">
        <f>0</f>
        <v>0</v>
      </c>
      <c r="G95" s="5">
        <f>0</f>
        <v>0</v>
      </c>
      <c r="H95" s="5">
        <f>0</f>
        <v>0</v>
      </c>
      <c r="I95" s="5">
        <f>0</f>
        <v>0</v>
      </c>
    </row>
    <row r="96" spans="1:9" x14ac:dyDescent="0.25">
      <c r="A96" t="s">
        <v>224</v>
      </c>
      <c r="C96" s="5">
        <f>IF(1=MIN(MAX(1,ROUNDUP(vat_months/12,0)),7),-B85,0)</f>
        <v>160818</v>
      </c>
      <c r="D96" s="5">
        <f>IF(2=MIN(MAX(1,ROUNDUP(vat_months/12,0)),7),-B85,0)</f>
        <v>0</v>
      </c>
      <c r="E96" s="5">
        <f>IF(3=MIN(MAX(1,ROUNDUP(vat_months/12,0)),7),-B85,0)</f>
        <v>0</v>
      </c>
      <c r="F96" s="5">
        <f>IF(4=MIN(MAX(1,ROUNDUP(vat_months/12,0)),7),-B85,0)</f>
        <v>0</v>
      </c>
      <c r="G96" s="5">
        <f>IF(5=MIN(MAX(1,ROUNDUP(vat_months/12,0)),7),-B85,0)</f>
        <v>0</v>
      </c>
      <c r="H96" s="5">
        <f>IF(6=MIN(MAX(1,ROUNDUP(vat_months/12,0)),7),-B85,0)</f>
        <v>0</v>
      </c>
      <c r="I96" s="5">
        <f>IF(7=MIN(MAX(1,ROUNDUP(vat_months/12,0)),7),-B85,0)</f>
        <v>0</v>
      </c>
    </row>
    <row r="97" spans="1:9" x14ac:dyDescent="0.25">
      <c r="A97" t="s">
        <v>225</v>
      </c>
      <c r="C97" s="5">
        <f>C94+C95+C96</f>
        <v>313592.12449898577</v>
      </c>
      <c r="D97" s="5">
        <f>C97+D94+D95+D96</f>
        <v>521353.03329309344</v>
      </c>
      <c r="E97" s="5">
        <f>D97+E94+E95+E96</f>
        <v>764661.0324111038</v>
      </c>
      <c r="F97" s="5">
        <f>E97+F94+F95+F96</f>
        <v>1019312.9937407139</v>
      </c>
      <c r="G97" s="5">
        <f>F97+G94+G95+G96</f>
        <v>1285535.7965261561</v>
      </c>
      <c r="H97" s="5">
        <f>G97+H94+H95+H96</f>
        <v>1563560.8575965469</v>
      </c>
      <c r="I97" s="5">
        <f>H97+I94+I95+I96</f>
        <v>1853624.2221175854</v>
      </c>
    </row>
    <row r="98" spans="1:9" x14ac:dyDescent="0.25">
      <c r="A98" t="s">
        <v>226</v>
      </c>
      <c r="C98" s="7">
        <f>IF((C92+C93)=0,0,-C91/(C92+C93))</f>
        <v>1.4716850533330175</v>
      </c>
      <c r="D98" s="7">
        <f>IF((D92+D93)=0,0,-D91/(D92+D93))</f>
        <v>1.6414549300573176</v>
      </c>
      <c r="E98" s="7">
        <f>IF((E92+E93)=0,0,-E91/(E92+E93))</f>
        <v>1.75120539500189</v>
      </c>
      <c r="F98" s="7">
        <f>IF((F92+F93)=0,0,-F91/(F92+F93))</f>
        <v>1.7862295029019268</v>
      </c>
      <c r="G98" s="7">
        <f>IF((G92+G93)=0,0,-G91/(G92+G93))</f>
        <v>1.8219540929599656</v>
      </c>
      <c r="H98" s="7">
        <f>IF((H92+H93)=0,0,-H91/(H92+H93))</f>
        <v>1.8583931748191649</v>
      </c>
      <c r="I98" s="7">
        <f>IF((I92+I93)=0,0,-I91/(I92+I93))</f>
        <v>1.8955610383155483</v>
      </c>
    </row>
    <row r="100" spans="1:9" x14ac:dyDescent="0.25">
      <c r="A100" t="s">
        <v>26</v>
      </c>
      <c r="C100" s="5">
        <f>IF(1=7,'P&amp;L'!I31/cap,0)</f>
        <v>0</v>
      </c>
      <c r="D100" s="5">
        <f>IF(2=7,'P&amp;L'!I31/cap,0)</f>
        <v>0</v>
      </c>
      <c r="E100" s="5">
        <f>IF(3=7,'P&amp;L'!I31/cap,0)</f>
        <v>0</v>
      </c>
      <c r="F100" s="5">
        <f>IF(4=7,'P&amp;L'!I31/cap,0)</f>
        <v>0</v>
      </c>
      <c r="G100" s="5">
        <f>IF(5=7,'P&amp;L'!I31/cap,0)</f>
        <v>0</v>
      </c>
      <c r="H100" s="5">
        <f>IF(6=7,'P&amp;L'!I31/cap,0)</f>
        <v>0</v>
      </c>
      <c r="I100" s="5">
        <f>IF(7=7,'P&amp;L'!I31/cap,0)</f>
        <v>8770763.942614693</v>
      </c>
    </row>
    <row r="101" spans="1:9" x14ac:dyDescent="0.25">
      <c r="A101" t="s">
        <v>27</v>
      </c>
      <c r="C101" s="5">
        <f>-C100*sell_pct</f>
        <v>0</v>
      </c>
      <c r="D101" s="5">
        <f>-D100*sell_pct</f>
        <v>0</v>
      </c>
      <c r="E101" s="5">
        <f>-E100*sell_pct</f>
        <v>0</v>
      </c>
      <c r="F101" s="5">
        <f>-F100*sell_pct</f>
        <v>0</v>
      </c>
      <c r="G101" s="5">
        <f>-G100*sell_pct</f>
        <v>0</v>
      </c>
      <c r="H101" s="5">
        <f>-H100*sell_pct</f>
        <v>0</v>
      </c>
      <c r="I101" s="5">
        <f>-I100*sell_pct</f>
        <v>-175415.27885229327</v>
      </c>
    </row>
    <row r="102" spans="1:9" x14ac:dyDescent="0.25">
      <c r="A102" t="s">
        <v>28</v>
      </c>
      <c r="C102" s="5">
        <f>IF(1&lt;7,0,IF(B86=0,0,-(B86+CUMPRINC(Assumptions!$D$48/12,Assumptions!$D$49*12,B86,1,84,0))))</f>
        <v>0</v>
      </c>
      <c r="D102" s="5">
        <f>IF(2&lt;7,0,IF(B86=0,0,-(B86+CUMPRINC(Assumptions!$D$48/12,Assumptions!$D$49*12,B86,1,84,0))))</f>
        <v>0</v>
      </c>
      <c r="E102" s="5">
        <f>IF(3&lt;7,0,IF(B86=0,0,-(B86+CUMPRINC(Assumptions!$D$48/12,Assumptions!$D$49*12,B86,1,84,0))))</f>
        <v>0</v>
      </c>
      <c r="F102" s="5">
        <f>IF(4&lt;7,0,IF(B86=0,0,-(B86+CUMPRINC(Assumptions!$D$48/12,Assumptions!$D$49*12,B86,1,84,0))))</f>
        <v>0</v>
      </c>
      <c r="G102" s="5">
        <f>IF(5&lt;7,0,IF(B86=0,0,-(B86+CUMPRINC(Assumptions!$D$48/12,Assumptions!$D$49*12,B86,1,84,0))))</f>
        <v>0</v>
      </c>
      <c r="H102" s="5">
        <f>IF(6&lt;7,0,IF(B86=0,0,-(B86+CUMPRINC(Assumptions!$D$48/12,Assumptions!$D$49*12,B86,1,84,0))))</f>
        <v>0</v>
      </c>
      <c r="I102" s="5">
        <f>IF(7&lt;7,0,IF(B86=0,0,-(B86+CUMPRINC(Assumptions!$D$48/12,Assumptions!$D$49*12,B86,1,84,0))))</f>
        <v>-2323519.1544278925</v>
      </c>
    </row>
    <row r="103" spans="1:9" x14ac:dyDescent="0.25">
      <c r="A103" t="s">
        <v>29</v>
      </c>
      <c r="C103" s="5">
        <f>C100+C101+C102</f>
        <v>0</v>
      </c>
      <c r="D103" s="5">
        <f>D100+D101+D102</f>
        <v>0</v>
      </c>
      <c r="E103" s="5">
        <f>E100+E101+E102</f>
        <v>0</v>
      </c>
      <c r="F103" s="5">
        <f>F100+F101+F102</f>
        <v>0</v>
      </c>
      <c r="G103" s="5">
        <f>G100+G101+G102</f>
        <v>0</v>
      </c>
      <c r="H103" s="5">
        <f>H100+H101+H102</f>
        <v>0</v>
      </c>
      <c r="I103" s="5">
        <f>I100+I101+I102</f>
        <v>6271829.509334507</v>
      </c>
    </row>
    <row r="105" spans="1:9" x14ac:dyDescent="0.25">
      <c r="A105" t="s">
        <v>201</v>
      </c>
      <c r="C105" s="5">
        <f>122219.29959918861</f>
        <v>122219.29959918861</v>
      </c>
      <c r="D105" s="5">
        <f>166208.72703528614</f>
        <v>166208.72703528614</v>
      </c>
      <c r="E105" s="5">
        <f>194646.39929440827</f>
        <v>194646.39929440827</v>
      </c>
      <c r="F105" s="5">
        <f>203721.56906368805</f>
        <v>203721.56906368805</v>
      </c>
      <c r="G105" s="5">
        <f>212978.24222835377</f>
        <v>212978.24222835377</v>
      </c>
      <c r="H105" s="5">
        <f>222420.04885631264</f>
        <v>222420.04885631264</v>
      </c>
      <c r="I105" s="5">
        <f>232050.6916168308</f>
        <v>232050.6916168308</v>
      </c>
    </row>
    <row r="106" spans="1:9" x14ac:dyDescent="0.25">
      <c r="A106" t="s">
        <v>202</v>
      </c>
      <c r="C106" s="5">
        <f>30554.824899797153</f>
        <v>30554.824899797153</v>
      </c>
      <c r="D106" s="5">
        <f>41552.181758821505</f>
        <v>41552.181758821505</v>
      </c>
      <c r="E106" s="5">
        <f>48661.59982360207</f>
        <v>48661.59982360207</v>
      </c>
      <c r="F106" s="5">
        <f>50930.39226592201</f>
        <v>50930.39226592201</v>
      </c>
      <c r="G106" s="5">
        <f>53244.560557088436</f>
        <v>53244.560557088436</v>
      </c>
      <c r="H106" s="5">
        <f>55605.01221407816</f>
        <v>55605.01221407816</v>
      </c>
      <c r="I106" s="5">
        <f>58012.67290420769</f>
        <v>58012.67290420769</v>
      </c>
    </row>
    <row r="107" spans="1:9" x14ac:dyDescent="0.25">
      <c r="A107" t="s">
        <v>227</v>
      </c>
      <c r="C107" s="5">
        <f>IF(1=7,4207369.576407734,0)</f>
        <v>0</v>
      </c>
      <c r="D107" s="5">
        <f>IF(2=7,4207369.576407734,0)</f>
        <v>0</v>
      </c>
      <c r="E107" s="5">
        <f>IF(3=7,4207369.576407734,0)</f>
        <v>0</v>
      </c>
      <c r="F107" s="5">
        <f>IF(4=7,4207369.576407734,0)</f>
        <v>0</v>
      </c>
      <c r="G107" s="5">
        <f>IF(5=7,4207369.576407734,0)</f>
        <v>0</v>
      </c>
      <c r="H107" s="5">
        <f>IF(6=7,4207369.576407734,0)</f>
        <v>0</v>
      </c>
      <c r="I107" s="5">
        <f>IF(7=7,4207369.576407734,0)</f>
        <v>4207369.576407734</v>
      </c>
    </row>
    <row r="108" spans="1:9" x14ac:dyDescent="0.25">
      <c r="A108" t="s">
        <v>228</v>
      </c>
      <c r="C108" s="5">
        <f>IF(1=7,2064459.932926773,0)</f>
        <v>0</v>
      </c>
      <c r="D108" s="5">
        <f>IF(2=7,2064459.932926773,0)</f>
        <v>0</v>
      </c>
      <c r="E108" s="5">
        <f>IF(3=7,2064459.932926773,0)</f>
        <v>0</v>
      </c>
      <c r="F108" s="5">
        <f>IF(4=7,2064459.932926773,0)</f>
        <v>0</v>
      </c>
      <c r="G108" s="5">
        <f>IF(5=7,2064459.932926773,0)</f>
        <v>0</v>
      </c>
      <c r="H108" s="5">
        <f>IF(6=7,2064459.932926773,0)</f>
        <v>0</v>
      </c>
      <c r="I108" s="5">
        <f>IF(7=7,2064459.932926773,0)</f>
        <v>2064459.932926773</v>
      </c>
    </row>
    <row r="109" spans="1:9" x14ac:dyDescent="0.25">
      <c r="A109" t="s">
        <v>229</v>
      </c>
      <c r="C109" s="5">
        <f>(C95+C96)*(1-gp_pct)</f>
        <v>128654.40000000001</v>
      </c>
      <c r="D109" s="5">
        <f>(D95+D96)*(1-gp_pct)</f>
        <v>0</v>
      </c>
      <c r="E109" s="5">
        <f>(E95+E96)*(1-gp_pct)</f>
        <v>0</v>
      </c>
      <c r="F109" s="5">
        <f>(F95+F96)*(1-gp_pct)</f>
        <v>0</v>
      </c>
      <c r="G109" s="5">
        <f>(G95+G96)*(1-gp_pct)</f>
        <v>0</v>
      </c>
      <c r="H109" s="5">
        <f>(H95+H96)*(1-gp_pct)</f>
        <v>0</v>
      </c>
      <c r="I109" s="5">
        <f>(I95+I96)*(1-gp_pct)</f>
        <v>0</v>
      </c>
    </row>
    <row r="110" spans="1:9" x14ac:dyDescent="0.25">
      <c r="A110" t="s">
        <v>230</v>
      </c>
      <c r="C110" s="5">
        <f>(C95+C96)*gp_pct</f>
        <v>32163.59999999999</v>
      </c>
      <c r="D110" s="5">
        <f>(D95+D96)*gp_pct</f>
        <v>0</v>
      </c>
      <c r="E110" s="5">
        <f>(E95+E96)*gp_pct</f>
        <v>0</v>
      </c>
      <c r="F110" s="5">
        <f>(F95+F96)*gp_pct</f>
        <v>0</v>
      </c>
      <c r="G110" s="5">
        <f>(G95+G96)*gp_pct</f>
        <v>0</v>
      </c>
      <c r="H110" s="5">
        <f>(H95+H96)*gp_pct</f>
        <v>0</v>
      </c>
      <c r="I110" s="5">
        <f>(I95+I96)*gp_pct</f>
        <v>0</v>
      </c>
    </row>
    <row r="111" spans="1:9" x14ac:dyDescent="0.25">
      <c r="A111" s="3" t="s">
        <v>231</v>
      </c>
      <c r="C111" s="5">
        <f>SUM(C105:C110)</f>
        <v>313592.12449898577</v>
      </c>
      <c r="D111" s="5">
        <f>SUM(D105:D110)</f>
        <v>207760.90879410764</v>
      </c>
      <c r="E111" s="5">
        <f>SUM(E105:E110)</f>
        <v>243307.99911801034</v>
      </c>
      <c r="F111" s="5">
        <f>SUM(F105:F110)</f>
        <v>254651.96132961006</v>
      </c>
      <c r="G111" s="5">
        <f>SUM(G105:G110)</f>
        <v>266222.8027854422</v>
      </c>
      <c r="H111" s="5">
        <f>SUM(H105:H110)</f>
        <v>278025.0610703908</v>
      </c>
      <c r="I111" s="5">
        <f>SUM(I105:I110)</f>
        <v>6561892.873855546</v>
      </c>
    </row>
    <row r="113" spans="1:9" x14ac:dyDescent="0.25">
      <c r="A113" t="s">
        <v>232</v>
      </c>
      <c r="C113" s="5">
        <f>C94+C95+C96+C103</f>
        <v>313592.12449898577</v>
      </c>
      <c r="D113" s="5">
        <f>D94+D95+D96+D103</f>
        <v>207760.90879410764</v>
      </c>
      <c r="E113" s="5">
        <f>E94+E95+E96+E103</f>
        <v>243307.99911801034</v>
      </c>
      <c r="F113" s="5">
        <f>F94+F95+F96+F103</f>
        <v>254651.96132961006</v>
      </c>
      <c r="G113" s="5">
        <f>G94+G95+G96+G103</f>
        <v>266222.8027854422</v>
      </c>
      <c r="H113" s="5">
        <f>H94+H95+H96+H103</f>
        <v>278025.0610703908</v>
      </c>
      <c r="I113" s="5">
        <f>I94+I95+I96+I103</f>
        <v>6561892.873855546</v>
      </c>
    </row>
    <row r="114" spans="1:9" x14ac:dyDescent="0.25">
      <c r="A114" t="s">
        <v>233</v>
      </c>
      <c r="C114" s="5">
        <f>C113-C111</f>
        <v>0</v>
      </c>
      <c r="D114" s="5">
        <f>D113-D111</f>
        <v>0</v>
      </c>
      <c r="E114" s="5">
        <f>E113-E111</f>
        <v>0</v>
      </c>
      <c r="F114" s="5">
        <f>F113-F111</f>
        <v>0</v>
      </c>
      <c r="G114" s="5">
        <f>G113-G111</f>
        <v>0</v>
      </c>
      <c r="H114" s="5">
        <f>H113-H111</f>
        <v>0</v>
      </c>
      <c r="I114" s="5">
        <f>I113-I111</f>
        <v>0</v>
      </c>
    </row>
    <row r="116" spans="1:9" x14ac:dyDescent="0.25">
      <c r="A116" t="s">
        <v>234</v>
      </c>
      <c r="B116" s="5">
        <f>-B87</f>
        <v>-1914982.1785714286</v>
      </c>
      <c r="C116" s="5">
        <f>C105+C107+C109</f>
        <v>250873.69959918864</v>
      </c>
      <c r="D116" s="5">
        <f>D105+D107+D109</f>
        <v>166208.72703528614</v>
      </c>
      <c r="E116" s="5">
        <f>E105+E107+E109</f>
        <v>194646.39929440827</v>
      </c>
      <c r="F116" s="5">
        <f>F105+F107+F109</f>
        <v>203721.56906368805</v>
      </c>
      <c r="G116" s="5">
        <f>G105+G107+G109</f>
        <v>212978.24222835377</v>
      </c>
      <c r="H116" s="5">
        <f>H105+H107+H109</f>
        <v>222420.04885631264</v>
      </c>
      <c r="I116" s="5">
        <f>I105+I107+I109</f>
        <v>4439420.268024565</v>
      </c>
    </row>
    <row r="117" spans="1:9" x14ac:dyDescent="0.25">
      <c r="A117" t="s">
        <v>235</v>
      </c>
      <c r="B117" s="5">
        <f>B116</f>
        <v>-1914982.1785714286</v>
      </c>
      <c r="C117" s="5">
        <f>B117+C116</f>
        <v>-1664108.47897224</v>
      </c>
      <c r="D117" s="5">
        <f>C117+D116</f>
        <v>-1497899.7519369537</v>
      </c>
      <c r="E117" s="5">
        <f>D117+E116</f>
        <v>-1303253.3526425455</v>
      </c>
      <c r="F117" s="5">
        <f>E117+F116</f>
        <v>-1099531.7835788573</v>
      </c>
      <c r="G117" s="5">
        <f>F117+G116</f>
        <v>-886553.5413505036</v>
      </c>
      <c r="H117" s="5">
        <f>G117+H116</f>
        <v>-664133.4924941909</v>
      </c>
      <c r="I117" s="5">
        <f>H117+I116</f>
        <v>3775286.7755303737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26" customWidth="1"/>
    <col min="2" max="7" width="13" customWidth="1"/>
  </cols>
  <sheetData>
    <row r="1" spans="1:1" x14ac:dyDescent="0.25">
      <c r="A1" s="2" t="s">
        <v>238</v>
      </c>
    </row>
    <row r="3" spans="1:7" x14ac:dyDescent="0.25">
      <c r="A3" s="3" t="s">
        <v>239</v>
      </c>
      <c r="B3" s="3" t="s">
        <v>13</v>
      </c>
      <c r="C3" s="3" t="s">
        <v>19</v>
      </c>
      <c r="D3" s="3" t="s">
        <v>31</v>
      </c>
      <c r="E3" s="3" t="s">
        <v>212</v>
      </c>
      <c r="F3" s="3" t="s">
        <v>226</v>
      </c>
      <c r="G3" s="3" t="s">
        <v>240</v>
      </c>
    </row>
    <row r="4" spans="1:7" x14ac:dyDescent="0.25">
      <c r="A4" t="s">
        <v>81</v>
      </c>
      <c r="B4" s="5">
        <v>0</v>
      </c>
      <c r="C4" s="5">
        <v>4845697</v>
      </c>
      <c r="D4" s="6">
        <v>0.12522416072516337</v>
      </c>
      <c r="E4" s="7">
        <v>1.9968848359733675</v>
      </c>
      <c r="F4" s="7"/>
      <c r="G4" t="s">
        <v>241</v>
      </c>
    </row>
    <row r="5" spans="1:7" x14ac:dyDescent="0.25">
      <c r="A5" t="s">
        <v>12</v>
      </c>
      <c r="B5" s="5">
        <v>3365411</v>
      </c>
      <c r="C5" s="5">
        <v>2265807</v>
      </c>
      <c r="D5" s="6">
        <v>0.18128668894830902</v>
      </c>
      <c r="E5" s="7">
        <v>2.7359088397124776</v>
      </c>
      <c r="F5" s="7">
        <v>2.069606375911324</v>
      </c>
      <c r="G5" t="s">
        <v>242</v>
      </c>
    </row>
    <row r="6" spans="1:7" x14ac:dyDescent="0.25">
      <c r="A6" t="s">
        <v>83</v>
      </c>
      <c r="B6" s="5">
        <v>3977304</v>
      </c>
      <c r="C6" s="5">
        <v>1786328</v>
      </c>
      <c r="D6" s="6">
        <v>0.20468986861550187</v>
      </c>
      <c r="E6" s="7">
        <v>3.1134345111900825</v>
      </c>
      <c r="F6" s="7">
        <v>1.75120539500189</v>
      </c>
      <c r="G6" t="s">
        <v>241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Assumptions</vt:lpstr>
      <vt:lpstr>Unit Mix</vt:lpstr>
      <vt:lpstr>Cost</vt:lpstr>
      <vt:lpstr>P&amp;L</vt:lpstr>
      <vt:lpstr>Waterfall</vt:lpstr>
      <vt:lpstr>Cash Flow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Patrimonio SL</dc:creator>
  <dc:title/>
  <dc:subject/>
  <dc:description/>
  <cp:keywords/>
  <cp:category/>
  <cp:lastModifiedBy>Unknown</cp:lastModifiedBy>
  <dcterms:created xsi:type="dcterms:W3CDTF">2026-09-21T00:11:49Z</dcterms:created>
  <dcterms:modified xsi:type="dcterms:W3CDTF">2026-09-21T00:11:49Z</dcterms:modified>
</cp:coreProperties>
</file>