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Mix'!$B$21</definedName>
    <definedName name="blended_incl">'Unit Mix'!$B$22</definedName>
    <definedName name="clean_base">'Unit Mix'!$B$23</definedName>
    <definedName name="anc_units">'Unit Mix'!$B$24</definedName>
    <definedName name="mtr_n">'Unit Mix'!$B$25</definedName>
    <definedName name="cost_unit_n">'Unit Mix'!$B$26</definedName>
    <definedName name="mtr_rent_a">'Unit Mix'!$B$27</definedName>
    <definedName name="turn_base">'Unit Mix'!$B$28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<sst xmlns="http://schemas.openxmlformats.org/spreadsheetml/2006/main" count="384" uniqueCount="240">
  <si>
    <t>Barri Vell 6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</si>
  <si>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</si>
  <si>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</si>
  <si>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</si>
  <si>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</si>
  <si>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</si>
  <si>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</si>
  <si>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</si>
  <si>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</si>
  <si>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</si>
  <si>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</si>
  <si>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</si>
  <si>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</si>
  <si>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</si>
  <si>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</si>
  <si>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</si>
  <si>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</si>
  <si>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</si>
  <si>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</si>
  <si>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</si>
  <si>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</si>
  <si>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</si>
  <si>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</si>
  <si>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</si>
  <si>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</si>
  <si>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</si>
  <si>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</si>
  <si>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</si>
  <si>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</si>
  <si>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</si>
  <si>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</si>
  <si>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</si>
  <si>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</si>
  <si>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</si>
  <si>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</si>
  <si>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</si>
  <si>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</si>
  <si>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</si>
  <si>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</si>
  <si>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</si>
  <si>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</si>
  <si>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</si>
  <si>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</si>
  <si>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</si>
  <si>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</si>
  <si>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</si>
  <si>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</si>
  <si>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</si>
  <si>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</si>
  <si>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</si>
  <si>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</si>
  <si>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</si>
  <si>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</si>
  <si>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</si>
  <si>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</si>
  <si>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</si>
  <si>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</si>
  <si>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</si>
  <si>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</si>
  <si>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</si>
  <si>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</si>
  <si>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</si>
  <si>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</si>
  <si>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</si>
  <si>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</si>
  <si>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</si>
  <si>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</si>
  <si>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</si>
  <si>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</si>
  <si>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</si>
  <si>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</si>
  <si>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</si>
  <si>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</si>
  <si>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</si>
  <si>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</si>
  <si>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</si>
  <si>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</si>
  <si>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</si>
  <si>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</si>
  <si>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</si>
  <si>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</si>
  <si>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</si>
  <si>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</si>
  <si>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60%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</si>
  <si>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</si>
  <si>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</si>
  <si>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</si>
  <si>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</si>
  <si>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</si>
  <si>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</si>
  <si>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</si>
  <si>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</si>
  <si>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</si>
  <si>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</si>
  <si>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</si>
  <si>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</si>
  <si>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</si>
  <si>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</si>
  <si>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</si>
  <si>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</si>
  <si>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</si>
  <si>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</si>
  <si>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</si>
  <si>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</si>
  <si>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</si>
  <si>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</si>
  <si>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Room</t>
  </si>
  <si>
    <t>STR</t>
  </si>
  <si>
    <t>Room with terrace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</si>
  <si>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</si>
  <si>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</si>
  <si>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</si>
  <si>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</si>
  <si>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</si>
  <si>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</si>
  <si>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</si>
  <si>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</si>
  <si>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</si>
  <si>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</si>
  <si>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</si>
  <si>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</si>
  <si>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</si>
  <si>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</si>
  <si>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</si>
  <si>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</si>
  <si>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</si>
  <si>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</si>
  <si>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</si>
  <si>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</si>
  <si>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</si>
  <si>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</si>
  <si>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</si>
  <si>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</si>
  <si>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</si>
  <si>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</si>
  <si>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</si>
  <si>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</si>
  <si>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</si>
  <si>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</si>
  <si>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</si>
  <si>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</si>
  <si>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</si>
  <si>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</si>
  <si>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</si>
  <si>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</si>
  <si>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</si>
  <si>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</si>
  <si>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</si>
  <si>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</si>
  <si>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</si>
  <si>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</si>
  <si>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</si>
  <si>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</si>
  <si>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</si>
  <si>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</si>
  <si>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</si>
  <si>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</si>
  <si>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</si>
  <si>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</si>
  <si>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</si>
  <si>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</si>
  <si>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</si>
  <si>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</si>
  <si>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</si>
  <si>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</si>
  <si>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</si>
  <si>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</si>
  <si>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</si>
  <si>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</si>
  <si>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</si>
  <si>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</si>
  <si>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</si>
  <si>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</si>
  <si>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</si>
  <si>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</si>
  <si>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</si>
  <si>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</si>
  <si>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</si>
  <si>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</si>
  <si>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</si>
  <si>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</si>
  <si>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</si>
  <si>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</si>
  <si>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</si>
  <si>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</si>
  <si>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</si>
  <si>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</si>
  <si>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</si>
  <si>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</si>
  <si>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</si>
  <si>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</si>
  <si>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</si>
  <si>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</si>
  <si>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</si>
  <si>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</si>
  <si>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</si>
  <si>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</si>
  <si>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</si>
  <si>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</si>
  <si>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</si>
  <si>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</si>
  <si>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</si>
  <si>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</si>
  <si>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</si>
  <si>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</si>
  <si>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</si>
  <si>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</si>
  <si>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</si>
  <si>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</si>
  <si>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</si>
  <si>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</si>
  <si>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</si>
  <si>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</si>
  <si>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</si>
  <si>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</si>
  <si>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</si>
  <si>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</si>
  <si>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</si>
  <si>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</si>
  <si>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</si>
  <si>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</si>
  <si>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</si>
  <si>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</si>
  <si>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</si>
  <si>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</si>
  <si>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</si>
  <si>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</si>
  <si>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</si>
  <si>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</si>
  <si>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</si>
  <si>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</si>
  <si>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</si>
  <si>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</si>
  <si>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</si>
  <si>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60%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</si>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</sst>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18</v>
      </c>
    </row>
    <row r="7" spans="1:2" x14ac:dyDescent="0.25">
      <c r="A7" t="s">
        <v>5</v>
      </c>
      <c r="B7" s="5">
        <f>price</f>
        <v>2400000</v>
      </c>
    </row>
    <row r="8" spans="1:2" x14ac:dyDescent="0.25">
      <c r="A8" t="s">
        <v>6</v>
      </c>
      <c r="B8" s="5">
        <f>tpc</f>
        <v>3048877.551020408</v>
      </c>
    </row>
    <row r="9" spans="1:2" x14ac:dyDescent="0.25">
      <c r="A9" t="s">
        <v>7</v>
      </c>
      <c r="B9" s="5">
        <f>IF(units_c=0,0,tpc/units_c)</f>
        <v>169382.08616780044</v>
      </c>
    </row>
    <row r="10" spans="1:2" x14ac:dyDescent="0.25">
      <c r="A10" t="s">
        <v>8</v>
      </c>
      <c r="B10" s="5">
        <f>'P&amp;L'!E31</f>
        <v>320233.5134999998</v>
      </c>
    </row>
    <row r="11" spans="1:2" x14ac:dyDescent="0.25">
      <c r="A11" t="s">
        <v>9</v>
      </c>
      <c r="B11" s="6">
        <f>IF(tpc=0,0,B10/tpc)</f>
        <v>0.10503324851233302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1524438.775510204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36600.994897959186</v>
      </c>
    </row>
    <row r="18" spans="1:2" x14ac:dyDescent="0.25">
      <c r="A18" t="s">
        <v>16</v>
      </c>
      <c r="B18" s="5">
        <f>eq_total</f>
        <v>1561039.7704081633</v>
      </c>
    </row>
    <row r="19" spans="1:2" x14ac:dyDescent="0.25">
      <c r="A19" t="s">
        <v>17</v>
      </c>
      <c r="B19" s="5">
        <f>vat_float</f>
        <v>89439</v>
      </c>
    </row>
    <row r="20" spans="1:2" x14ac:dyDescent="0.25">
      <c r="A20" t="s">
        <v>18</v>
      </c>
      <c r="B20" s="5">
        <f>eq_total+vat_float</f>
        <v>1650478.7704081633</v>
      </c>
    </row>
    <row r="21" spans="1:2" x14ac:dyDescent="0.25">
      <c r="A21" t="s">
        <v>19</v>
      </c>
      <c r="B21" s="5">
        <f>eq_lp</f>
        <v>1248831.8163265307</v>
      </c>
    </row>
    <row r="22" spans="1:2" x14ac:dyDescent="0.25">
      <c r="A22" t="s">
        <v>20</v>
      </c>
      <c r="B22" s="5">
        <f>eq_gp</f>
        <v>312207.95408163266</v>
      </c>
    </row>
    <row r="23" spans="1:2" x14ac:dyDescent="0.25">
      <c r="A23" t="s">
        <v>21</v>
      </c>
      <c r="B23" s="5">
        <f>Waterfall!B8</f>
        <v>124142.05655909583</v>
      </c>
    </row>
    <row r="24" spans="1:2" x14ac:dyDescent="0.25">
      <c r="A24" t="s">
        <v>22</v>
      </c>
      <c r="B24" s="7">
        <f>IF(Waterfall!B8=0,0,B10/Waterfall!B8)</f>
        <v>2.5795731307831025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4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4666259.768142855</v>
      </c>
    </row>
    <row r="30" spans="1:2" x14ac:dyDescent="0.25">
      <c r="A30" t="s">
        <v>27</v>
      </c>
      <c r="B30" s="5">
        <f>Waterfall!B27</f>
        <v>-93325.19536285709</v>
      </c>
    </row>
    <row r="31" spans="1:2" x14ac:dyDescent="0.25">
      <c r="A31" t="s">
        <v>28</v>
      </c>
      <c r="B31" s="5">
        <f>Waterfall!B28</f>
        <v>1177208.5196427607</v>
      </c>
    </row>
    <row r="32" spans="1:2" x14ac:dyDescent="0.25">
      <c r="A32" t="s">
        <v>29</v>
      </c>
      <c r="B32" s="5">
        <f>Waterfall!B29</f>
        <v>3395726.0531372363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0.2602045427259285</v>
      </c>
    </row>
    <row r="36" spans="1:2" x14ac:dyDescent="0.25">
      <c r="A36" t="s">
        <v>32</v>
      </c>
      <c r="B36" s="7">
        <f>Waterfall!B38</f>
        <v>2.330305019418897</v>
      </c>
    </row>
    <row r="37" spans="1:2" x14ac:dyDescent="0.25">
      <c r="A37" t="s">
        <v>33</v>
      </c>
      <c r="B37" s="5">
        <f>Waterfall!B37</f>
        <v>2910159.049995732</v>
      </c>
    </row>
    <row r="38" spans="1:2" x14ac:dyDescent="0.25">
      <c r="A38" t="s">
        <v>34</v>
      </c>
      <c r="B38" s="6">
        <f>IF(eq_lp=0,0,AVERAGE(Waterfall!C22:F22)/eq_lp)</f>
        <v>0.11518498133571295</v>
      </c>
    </row>
    <row r="39" spans="1:2" x14ac:dyDescent="0.25">
      <c r="A39" t="s">
        <v>35</v>
      </c>
      <c r="B39" s="6">
        <f>IRR('Cash Flow'!B77:'Cash Flow'!F77)</f>
        <v>0.2561181038877308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SUM(Waterfall!C23:F23)+Waterfall!B32</f>
        <v>1204800.3504165837</v>
      </c>
    </row>
    <row r="43" spans="1:2" x14ac:dyDescent="0.25">
      <c r="A43" t="s">
        <v>38</v>
      </c>
      <c r="B43" s="7">
        <f>IF(eq_gp=0,0,B42/eq_gp)</f>
        <v>3.858967507604133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0.75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5400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124</v>
      </c>
      <c r="D2" s="8">
        <v>0.66</v>
      </c>
      <c r="E2" s="11">
        <v>0</v>
      </c>
      <c r="F2" s="11">
        <v>0</v>
      </c>
    </row>
    <row r="3" spans="1:6" x14ac:dyDescent="0.25">
      <c r="A3" t="s">
        <v>106</v>
      </c>
      <c r="B3" t="s">
        <v>107</v>
      </c>
      <c r="C3" s="11">
        <v>124</v>
      </c>
      <c r="D3" s="8">
        <v>0.66</v>
      </c>
      <c r="E3" s="11">
        <v>0</v>
      </c>
      <c r="F3" s="11">
        <v>0</v>
      </c>
    </row>
    <row r="4" spans="1:6" x14ac:dyDescent="0.25">
      <c r="A4" t="s">
        <v>106</v>
      </c>
      <c r="B4" t="s">
        <v>107</v>
      </c>
      <c r="C4" s="11">
        <v>124</v>
      </c>
      <c r="D4" s="8">
        <v>0.66</v>
      </c>
      <c r="E4" s="11">
        <v>0</v>
      </c>
      <c r="F4" s="11">
        <v>0</v>
      </c>
    </row>
    <row r="5" spans="1:6" x14ac:dyDescent="0.25">
      <c r="A5" t="s">
        <v>106</v>
      </c>
      <c r="B5" t="s">
        <v>107</v>
      </c>
      <c r="C5" s="11">
        <v>124</v>
      </c>
      <c r="D5" s="8">
        <v>0.66</v>
      </c>
      <c r="E5" s="11">
        <v>0</v>
      </c>
      <c r="F5" s="11">
        <v>0</v>
      </c>
    </row>
    <row r="6" spans="1:6" x14ac:dyDescent="0.25">
      <c r="A6" t="s">
        <v>106</v>
      </c>
      <c r="B6" t="s">
        <v>107</v>
      </c>
      <c r="C6" s="11">
        <v>124</v>
      </c>
      <c r="D6" s="8">
        <v>0.66</v>
      </c>
      <c r="E6" s="11">
        <v>0</v>
      </c>
      <c r="F6" s="11">
        <v>0</v>
      </c>
    </row>
    <row r="7" spans="1:6" x14ac:dyDescent="0.25">
      <c r="A7" t="s">
        <v>106</v>
      </c>
      <c r="B7" t="s">
        <v>107</v>
      </c>
      <c r="C7" s="11">
        <v>124</v>
      </c>
      <c r="D7" s="8">
        <v>0.66</v>
      </c>
      <c r="E7" s="11">
        <v>0</v>
      </c>
      <c r="F7" s="11">
        <v>0</v>
      </c>
    </row>
    <row r="8" spans="1:6" x14ac:dyDescent="0.25">
      <c r="A8" t="s">
        <v>106</v>
      </c>
      <c r="B8" t="s">
        <v>107</v>
      </c>
      <c r="C8" s="11">
        <v>124</v>
      </c>
      <c r="D8" s="8">
        <v>0.66</v>
      </c>
      <c r="E8" s="11">
        <v>0</v>
      </c>
      <c r="F8" s="11">
        <v>0</v>
      </c>
    </row>
    <row r="9" spans="1:6" x14ac:dyDescent="0.25">
      <c r="A9" t="s">
        <v>106</v>
      </c>
      <c r="B9" t="s">
        <v>107</v>
      </c>
      <c r="C9" s="11">
        <v>124</v>
      </c>
      <c r="D9" s="8">
        <v>0.66</v>
      </c>
      <c r="E9" s="11">
        <v>0</v>
      </c>
      <c r="F9" s="11">
        <v>0</v>
      </c>
    </row>
    <row r="10" spans="1:6" x14ac:dyDescent="0.25">
      <c r="A10" t="s">
        <v>106</v>
      </c>
      <c r="B10" t="s">
        <v>107</v>
      </c>
      <c r="C10" s="11">
        <v>124</v>
      </c>
      <c r="D10" s="8">
        <v>0.66</v>
      </c>
      <c r="E10" s="11">
        <v>0</v>
      </c>
      <c r="F10" s="11">
        <v>0</v>
      </c>
    </row>
    <row r="11" spans="1:6" x14ac:dyDescent="0.25">
      <c r="A11" t="s">
        <v>106</v>
      </c>
      <c r="B11" t="s">
        <v>107</v>
      </c>
      <c r="C11" s="11">
        <v>124</v>
      </c>
      <c r="D11" s="8">
        <v>0.66</v>
      </c>
      <c r="E11" s="11">
        <v>0</v>
      </c>
      <c r="F11" s="11">
        <v>0</v>
      </c>
    </row>
    <row r="12" spans="1:6" x14ac:dyDescent="0.25">
      <c r="A12" t="s">
        <v>106</v>
      </c>
      <c r="B12" t="s">
        <v>107</v>
      </c>
      <c r="C12" s="11">
        <v>124</v>
      </c>
      <c r="D12" s="8">
        <v>0.66</v>
      </c>
      <c r="E12" s="11">
        <v>0</v>
      </c>
      <c r="F12" s="11">
        <v>0</v>
      </c>
    </row>
    <row r="13" spans="1:6" x14ac:dyDescent="0.25">
      <c r="A13" t="s">
        <v>106</v>
      </c>
      <c r="B13" t="s">
        <v>107</v>
      </c>
      <c r="C13" s="11">
        <v>124</v>
      </c>
      <c r="D13" s="8">
        <v>0.66</v>
      </c>
      <c r="E13" s="11">
        <v>0</v>
      </c>
      <c r="F13" s="11">
        <v>0</v>
      </c>
    </row>
    <row r="14" spans="1:6" x14ac:dyDescent="0.25">
      <c r="A14" t="s">
        <v>106</v>
      </c>
      <c r="B14" t="s">
        <v>107</v>
      </c>
      <c r="C14" s="11">
        <v>124</v>
      </c>
      <c r="D14" s="8">
        <v>0.66</v>
      </c>
      <c r="E14" s="11">
        <v>0</v>
      </c>
      <c r="F14" s="11">
        <v>0</v>
      </c>
    </row>
    <row r="15" spans="1:6" x14ac:dyDescent="0.25">
      <c r="A15" t="s">
        <v>106</v>
      </c>
      <c r="B15" t="s">
        <v>107</v>
      </c>
      <c r="C15" s="11">
        <v>124</v>
      </c>
      <c r="D15" s="8">
        <v>0.66</v>
      </c>
      <c r="E15" s="11">
        <v>0</v>
      </c>
      <c r="F15" s="11">
        <v>0</v>
      </c>
    </row>
    <row r="16" spans="1:6" x14ac:dyDescent="0.25">
      <c r="A16" t="s">
        <v>108</v>
      </c>
      <c r="B16" t="s">
        <v>107</v>
      </c>
      <c r="C16" s="11">
        <v>160</v>
      </c>
      <c r="D16" s="8">
        <v>0.66</v>
      </c>
      <c r="E16" s="11">
        <v>0</v>
      </c>
      <c r="F16" s="11">
        <v>0</v>
      </c>
    </row>
    <row r="17" spans="1:6" x14ac:dyDescent="0.25">
      <c r="A17" t="s">
        <v>108</v>
      </c>
      <c r="B17" t="s">
        <v>107</v>
      </c>
      <c r="C17" s="11">
        <v>160</v>
      </c>
      <c r="D17" s="8">
        <v>0.66</v>
      </c>
      <c r="E17" s="11">
        <v>0</v>
      </c>
      <c r="F17" s="11">
        <v>0</v>
      </c>
    </row>
    <row r="18" spans="1:6" x14ac:dyDescent="0.25">
      <c r="A18" t="s">
        <v>108</v>
      </c>
      <c r="B18" t="s">
        <v>107</v>
      </c>
      <c r="C18" s="11">
        <v>160</v>
      </c>
      <c r="D18" s="8">
        <v>0.66</v>
      </c>
      <c r="E18" s="11">
        <v>0</v>
      </c>
      <c r="F18" s="11">
        <v>0</v>
      </c>
    </row>
    <row r="19" spans="1:6" x14ac:dyDescent="0.25">
      <c r="A19" t="s">
        <v>108</v>
      </c>
      <c r="B19" t="s">
        <v>107</v>
      </c>
      <c r="C19" s="11">
        <v>160</v>
      </c>
      <c r="D19" s="8">
        <v>0.66</v>
      </c>
      <c r="E19" s="11">
        <v>0</v>
      </c>
      <c r="F19" s="11">
        <v>0</v>
      </c>
    </row>
    <row r="21" spans="1:2" x14ac:dyDescent="0.25">
      <c r="A21" t="s">
        <v>109</v>
      </c>
      <c r="B21" s="4">
        <f>COUNTIF(B2:B19,"STR")</f>
        <v>18</v>
      </c>
    </row>
    <row r="22" spans="1:2" x14ac:dyDescent="0.25">
      <c r="A22" t="s">
        <v>110</v>
      </c>
      <c r="B22" s="5">
        <f>SUMPRODUCT(C2:C19,D2:D19,--(B2:B19="STR"))/SUMPRODUCT(D2:D19,--(B2:B19="STR"))</f>
        <v>131.99999999999997</v>
      </c>
    </row>
    <row r="23" spans="1:2" x14ac:dyDescent="0.25">
      <c r="A23" t="s">
        <v>111</v>
      </c>
      <c r="B23" s="5">
        <f>SUMPRODUCT(365*D2:D19/alos,E2:E19/(1+iva),--(B2:B19="STR"))</f>
        <v>0</v>
      </c>
    </row>
    <row r="24" spans="1:2" x14ac:dyDescent="0.25">
      <c r="A24" t="s">
        <v>112</v>
      </c>
      <c r="B24" s="5">
        <f>SUMPRODUCT(F2:F19,--(B2:B19&lt;&gt;"STR"),--(B2:B19&lt;&gt;"MTR"))*12</f>
        <v>0</v>
      </c>
    </row>
    <row r="25" spans="1:2" x14ac:dyDescent="0.25">
      <c r="A25" t="s">
        <v>113</v>
      </c>
      <c r="B25" s="4">
        <f>COUNTIF(B2:B19,"MTR")</f>
        <v>0</v>
      </c>
    </row>
    <row r="26" spans="1:2" x14ac:dyDescent="0.25">
      <c r="A26" t="s">
        <v>114</v>
      </c>
      <c r="B26" s="4">
        <f>unit_n+mtr_n</f>
        <v>18</v>
      </c>
    </row>
    <row r="27" spans="1:2" x14ac:dyDescent="0.25">
      <c r="A27" t="s">
        <v>115</v>
      </c>
      <c r="B27" s="5">
        <f>SUMPRODUCT(F2:F19,--(B2:B19="MTR"))*12</f>
        <v>0</v>
      </c>
    </row>
    <row r="28" spans="1:2" x14ac:dyDescent="0.25">
      <c r="A28" t="s">
        <v>116</v>
      </c>
      <c r="B28" s="12">
        <f>SUMPRODUCT(D2:D19,--(B2:B19="STR"))*365/alos</f>
        <v>1734.4799999999993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2400000</v>
      </c>
    </row>
    <row r="3" spans="1:2" x14ac:dyDescent="0.25">
      <c r="A3" t="s">
        <v>118</v>
      </c>
      <c r="B3" s="9">
        <v>18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60000</v>
      </c>
    </row>
    <row r="15" spans="1:2" x14ac:dyDescent="0.25">
      <c r="A15" t="s">
        <v>130</v>
      </c>
      <c r="B15" s="11">
        <v>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8222.222222222223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30000</v>
      </c>
    </row>
    <row r="20" spans="1:2" x14ac:dyDescent="0.25">
      <c r="A20" t="s">
        <v>135</v>
      </c>
      <c r="B20" s="11">
        <v>34000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254700</v>
      </c>
    </row>
    <row r="24" spans="1:2" x14ac:dyDescent="0.25">
      <c r="A24" t="s">
        <v>138</v>
      </c>
      <c r="B24" s="5">
        <f>(reno_u*(units_c-1)+appl_u*units_c+common_f+deep_f)*(1+conting_pct)</f>
        <v>96000</v>
      </c>
    </row>
    <row r="25" spans="1:2" x14ac:dyDescent="0.25">
      <c r="A25" t="s">
        <v>139</v>
      </c>
      <c r="B25" s="5">
        <f>(ffe_u+itl_u)*units_c</f>
        <v>173200</v>
      </c>
    </row>
    <row r="26" spans="1:2" x14ac:dyDescent="0.25">
      <c r="A26" t="s">
        <v>140</v>
      </c>
      <c r="B26" s="5">
        <f>permits_f+arch_f</f>
        <v>64000</v>
      </c>
    </row>
    <row r="27" spans="1:2" x14ac:dyDescent="0.25">
      <c r="A27" t="s">
        <v>141</v>
      </c>
      <c r="B27" s="5">
        <f>price+B23+B24+B25+B26</f>
        <v>2987900</v>
      </c>
    </row>
    <row r="28" spans="1:2" x14ac:dyDescent="0.25">
      <c r="A28" t="s">
        <v>142</v>
      </c>
      <c r="B28" s="5">
        <f>gp_fee_pct*cost_base/(1-gp_fee_pct)</f>
        <v>60977.551020408166</v>
      </c>
    </row>
    <row r="29" spans="1:2" x14ac:dyDescent="0.25">
      <c r="A29" s="3" t="s">
        <v>143</v>
      </c>
      <c r="B29" s="5">
        <f>cost_base+B28</f>
        <v>3048877.551020408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20160</v>
      </c>
    </row>
    <row r="33" spans="1:2" x14ac:dyDescent="0.25">
      <c r="A33" t="s">
        <v>147</v>
      </c>
      <c r="B33" s="5">
        <f>vat_ffe*B25</f>
        <v>36372</v>
      </c>
    </row>
    <row r="34" spans="1:2" x14ac:dyDescent="0.25">
      <c r="A34" t="s">
        <v>148</v>
      </c>
      <c r="B34" s="5">
        <f>vat_soft*B26</f>
        <v>13440</v>
      </c>
    </row>
    <row r="35" spans="1:2" x14ac:dyDescent="0.25">
      <c r="A35" t="s">
        <v>149</v>
      </c>
      <c r="B35" s="5">
        <f>vat_fees*(B23-ajd_pct*price-itp_pct*price)</f>
        <v>19467</v>
      </c>
    </row>
    <row r="36" spans="1:2" x14ac:dyDescent="0.25">
      <c r="A36" s="3" t="s">
        <v>150</v>
      </c>
      <c r="B36" s="5">
        <f>SUM(B31:B35)</f>
        <v>89439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6" width="12" customWidth="1"/>
  </cols>
  <sheetData>
    <row r="1" spans="1:1" x14ac:dyDescent="0.25">
      <c r="A1" s="2" t="s">
        <v>151</v>
      </c>
    </row>
    <row r="2" spans="3:6" x14ac:dyDescent="0.25">
      <c r="C2" s="3" t="s">
        <v>152</v>
      </c>
      <c r="D2" s="3" t="s">
        <v>153</v>
      </c>
      <c r="E2" s="3" t="s">
        <v>154</v>
      </c>
      <c r="F2" s="3" t="s">
        <v>155</v>
      </c>
    </row>
    <row r="3" spans="1:6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</row>
    <row r="4" spans="1:6" x14ac:dyDescent="0.25">
      <c r="A4" t="s">
        <v>156</v>
      </c>
      <c r="C4" s="5">
        <f>blended_incl/(1+iva)*adr_y1f</f>
        <v>113.99999999999997</v>
      </c>
      <c r="D4" s="5">
        <f>blended_incl/(1+iva)</f>
        <v>119.99999999999997</v>
      </c>
      <c r="E4" s="5">
        <f>D4*(1+adr_infl)</f>
        <v>122.39999999999998</v>
      </c>
      <c r="F4" s="5">
        <f>E4*(1+adr_infl)</f>
        <v>124.84799999999998</v>
      </c>
    </row>
    <row r="5" spans="1:6" x14ac:dyDescent="0.25">
      <c r="A5" t="s">
        <v>157</v>
      </c>
      <c r="C5" s="5">
        <f>C3*365*C4*unit_n</f>
        <v>569224.7999999998</v>
      </c>
      <c r="D5" s="5">
        <f>D3*365*D4*unit_n</f>
        <v>622835.9999999999</v>
      </c>
      <c r="E5" s="5">
        <f>E3*365*E4*unit_n</f>
        <v>659417.7599999998</v>
      </c>
      <c r="F5" s="5">
        <f>F3*365*F4*unit_n</f>
        <v>672606.1151999999</v>
      </c>
    </row>
    <row r="6" spans="1:6" x14ac:dyDescent="0.25">
      <c r="A6" t="s">
        <v>158</v>
      </c>
      <c r="C6" s="5">
        <f>clean_base*C3/occ_stab</f>
        <v>0</v>
      </c>
      <c r="D6" s="5">
        <f>clean_base*D3/occ_stab</f>
        <v>0</v>
      </c>
      <c r="E6" s="5">
        <f>clean_base*E3/occ_stab</f>
        <v>0</v>
      </c>
      <c r="F6" s="5">
        <f>clean_base*F3/occ_stab</f>
        <v>0</v>
      </c>
    </row>
    <row r="7" spans="1:6" x14ac:dyDescent="0.25">
      <c r="A7" t="s">
        <v>159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</row>
    <row r="8" spans="1:6" x14ac:dyDescent="0.25">
      <c r="A8" t="s">
        <v>160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</row>
    <row r="9" spans="1:6" x14ac:dyDescent="0.25">
      <c r="A9" s="3" t="s">
        <v>161</v>
      </c>
      <c r="C9" s="5">
        <f>C5+C6+C7+C8</f>
        <v>569224.7999999998</v>
      </c>
      <c r="D9" s="5">
        <f>D5+D6+D7+D8</f>
        <v>622835.9999999999</v>
      </c>
      <c r="E9" s="5">
        <f>E5+E6+E7+E8</f>
        <v>659417.7599999998</v>
      </c>
      <c r="F9" s="5">
        <f>F5+F6+F7+F8</f>
        <v>672606.1151999999</v>
      </c>
    </row>
    <row r="10" spans="1:6" x14ac:dyDescent="0.25">
      <c r="A10" t="s">
        <v>162</v>
      </c>
      <c r="C10" s="5">
        <f>-(C5+C6)*comm_pct</f>
        <v>-96768.21599999997</v>
      </c>
      <c r="D10" s="5">
        <f>-(D5+D6)*comm_pct</f>
        <v>-105882.11999999998</v>
      </c>
      <c r="E10" s="5">
        <f>-(E5+E6)*comm_pct</f>
        <v>-112101.01919999997</v>
      </c>
      <c r="F10" s="5">
        <f>-(F5+F6)*comm_pct</f>
        <v>-114343.03958399998</v>
      </c>
    </row>
    <row r="11" spans="1:6" x14ac:dyDescent="0.25">
      <c r="A11" t="s">
        <v>163</v>
      </c>
      <c r="C11" s="5">
        <f>-turn_base*C3/occ_stab*hk_hours*hk_rate*C34</f>
        <v>-16276.614146341459</v>
      </c>
      <c r="D11" s="5">
        <f>-turn_base*D3/occ_stab*hk_hours*hk_rate*D34</f>
        <v>-17257.494314634143</v>
      </c>
      <c r="E11" s="5">
        <f>-turn_base*E3/occ_stab*hk_hours*hk_rate*E34</f>
        <v>-18271.09904399999</v>
      </c>
      <c r="F11" s="5">
        <f>-turn_base*F3/occ_stab*hk_hours*hk_rate*F34</f>
        <v>-18636.521024879996</v>
      </c>
    </row>
    <row r="12" spans="1:6" x14ac:dyDescent="0.25">
      <c r="A12" t="s">
        <v>164</v>
      </c>
      <c r="C12" s="5">
        <f>-turn_base*C3/occ_stab*linen_t*C34</f>
        <v>-8037.834146341461</v>
      </c>
      <c r="D12" s="5">
        <f>-turn_base*D3/occ_stab*linen_t*D34</f>
        <v>-8522.219414634144</v>
      </c>
      <c r="E12" s="5">
        <f>-turn_base*E3/occ_stab*linen_t*E34</f>
        <v>-9022.764959999995</v>
      </c>
      <c r="F12" s="5">
        <f>-turn_base*F3/occ_stab*linen_t*F34</f>
        <v>-9203.220259199998</v>
      </c>
    </row>
    <row r="13" spans="1:6" x14ac:dyDescent="0.25">
      <c r="A13" t="s">
        <v>165</v>
      </c>
      <c r="C13" s="5">
        <f>-turn_base*C3/occ_stab*amen_t*C34</f>
        <v>-4822.7004878048765</v>
      </c>
      <c r="D13" s="5">
        <f>-turn_base*D3/occ_stab*amen_t*D34</f>
        <v>-5113.331648780486</v>
      </c>
      <c r="E13" s="5">
        <f>-turn_base*E3/occ_stab*amen_t*E34</f>
        <v>-5413.658975999998</v>
      </c>
      <c r="F13" s="5">
        <f>-turn_base*F3/occ_stab*amen_t*F34</f>
        <v>-5521.932155519999</v>
      </c>
    </row>
    <row r="14" spans="1:6" x14ac:dyDescent="0.25">
      <c r="A14" s="3" t="s">
        <v>166</v>
      </c>
      <c r="C14" s="5">
        <f>C10+C11+C12+C13</f>
        <v>-125905.36478048777</v>
      </c>
      <c r="D14" s="5">
        <f>D10+D11+D12+D13</f>
        <v>-136775.16537804875</v>
      </c>
      <c r="E14" s="5">
        <f>E10+E11+E12+E13</f>
        <v>-144808.54217999996</v>
      </c>
      <c r="F14" s="5">
        <f>F10+F11+F12+F13</f>
        <v>-147704.7130236</v>
      </c>
    </row>
    <row r="15" spans="1:6" x14ac:dyDescent="0.25">
      <c r="A15" t="s">
        <v>167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</row>
    <row r="16" spans="1:6" x14ac:dyDescent="0.25">
      <c r="A16" t="s">
        <v>168</v>
      </c>
      <c r="C16" s="5">
        <f>-(unit_n*util_m+mtr_n*mtr_util_m+cost_unit_n*commu_m)*12*C34</f>
        <v>-29592</v>
      </c>
      <c r="D16" s="5">
        <f>-(unit_n*util_m+mtr_n*mtr_util_m+cost_unit_n*commu_m)*12*D34</f>
        <v>-30183.84</v>
      </c>
      <c r="E16" s="5">
        <f>-(unit_n*util_m+mtr_n*mtr_util_m+cost_unit_n*commu_m)*12*E34</f>
        <v>-30787.5168</v>
      </c>
      <c r="F16" s="5">
        <f>-(unit_n*util_m+mtr_n*mtr_util_m+cost_unit_n*commu_m)*12*F34</f>
        <v>-31403.267136000006</v>
      </c>
    </row>
    <row r="17" spans="1:6" x14ac:dyDescent="0.25">
      <c r="A17" t="s">
        <v>169</v>
      </c>
      <c r="C17" s="5">
        <f>-C9*maint_pct</f>
        <v>-6830.697599999998</v>
      </c>
      <c r="D17" s="5">
        <f>-D9*maint_pct</f>
        <v>-7474.031999999998</v>
      </c>
      <c r="E17" s="5">
        <f>-E9*maint_pct</f>
        <v>-7913.013119999998</v>
      </c>
      <c r="F17" s="5">
        <f>-F9*maint_pct</f>
        <v>-8071.273382399999</v>
      </c>
    </row>
    <row r="18" spans="1:6" x14ac:dyDescent="0.25">
      <c r="A18" t="s">
        <v>170</v>
      </c>
      <c r="C18" s="5">
        <f>-cost_unit_n*12*it_m*C34</f>
        <v>-8640</v>
      </c>
      <c r="D18" s="5">
        <f>-cost_unit_n*12*it_m*D34</f>
        <v>-8812.8</v>
      </c>
      <c r="E18" s="5">
        <f>-cost_unit_n*12*it_m*E34</f>
        <v>-8989.056</v>
      </c>
      <c r="F18" s="5">
        <f>-cost_unit_n*12*it_m*F34</f>
        <v>-9168.837120000002</v>
      </c>
    </row>
    <row r="19" spans="1:6" x14ac:dyDescent="0.25">
      <c r="A19" t="s">
        <v>171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</row>
    <row r="20" spans="1:6" x14ac:dyDescent="0.25">
      <c r="A20" t="s">
        <v>172</v>
      </c>
      <c r="C20" s="5">
        <f>-4*cost_unit_n*12*C34</f>
        <v>-864</v>
      </c>
      <c r="D20" s="5">
        <f>-4*cost_unit_n*12*D34</f>
        <v>-881.28</v>
      </c>
      <c r="E20" s="5">
        <f>-4*cost_unit_n*12*E34</f>
        <v>-898.9056</v>
      </c>
      <c r="F20" s="5">
        <f>-4*cost_unit_n*12*F34</f>
        <v>-916.8837120000002</v>
      </c>
    </row>
    <row r="21" spans="1:6" x14ac:dyDescent="0.25">
      <c r="A21" s="3" t="s">
        <v>173</v>
      </c>
      <c r="C21" s="5">
        <f>C15+C16+C17+C18+C19+C20</f>
        <v>-63326.6976</v>
      </c>
      <c r="D21" s="5">
        <f>D15+D16+D17+D18+D19+D20</f>
        <v>-65099.95199999999</v>
      </c>
      <c r="E21" s="5">
        <f>E15+E16+E17+E18+E19+E20</f>
        <v>-66691.45152</v>
      </c>
      <c r="F21" s="5">
        <f>F15+F16+F17+F18+F19+F20</f>
        <v>-68025.28055040001</v>
      </c>
    </row>
    <row r="22" spans="1:6" x14ac:dyDescent="0.25">
      <c r="A22" s="3" t="s">
        <v>174</v>
      </c>
      <c r="C22" s="5">
        <f>C9+C14+C21</f>
        <v>379992.7376195121</v>
      </c>
      <c r="D22" s="5">
        <f>D9+D14+D21</f>
        <v>420960.88262195117</v>
      </c>
      <c r="E22" s="5">
        <f>E9+E14+E21</f>
        <v>447917.7662999998</v>
      </c>
      <c r="F22" s="5">
        <f>F9+F14+F21</f>
        <v>456876.12162599986</v>
      </c>
    </row>
    <row r="23" spans="1:6" x14ac:dyDescent="0.25">
      <c r="A23" t="s">
        <v>175</v>
      </c>
      <c r="C23" s="5">
        <f>-C9*mgmt_pct</f>
        <v>-88229.84399999997</v>
      </c>
      <c r="D23" s="5">
        <f>-D9*mgmt_pct</f>
        <v>-96539.57999999999</v>
      </c>
      <c r="E23" s="5">
        <f>-E9*mgmt_pct</f>
        <v>-102209.75279999996</v>
      </c>
      <c r="F23" s="5">
        <f>-F9*mgmt_pct</f>
        <v>-104253.94785599998</v>
      </c>
    </row>
    <row r="24" spans="1:6" x14ac:dyDescent="0.25">
      <c r="A24" s="3" t="s">
        <v>176</v>
      </c>
      <c r="C24" s="5">
        <f>C23</f>
        <v>-88229.84399999997</v>
      </c>
      <c r="D24" s="5">
        <f>D23</f>
        <v>-96539.57999999999</v>
      </c>
      <c r="E24" s="5">
        <f>E23</f>
        <v>-102209.75279999996</v>
      </c>
      <c r="F24" s="5">
        <f>F23</f>
        <v>-104253.94785599998</v>
      </c>
    </row>
    <row r="25" spans="1:6" x14ac:dyDescent="0.25">
      <c r="A25" s="3" t="s">
        <v>177</v>
      </c>
      <c r="C25" s="5">
        <f>C22+C24</f>
        <v>291762.8936195121</v>
      </c>
      <c r="D25" s="5">
        <f>D22+D24</f>
        <v>324421.30262195115</v>
      </c>
      <c r="E25" s="5">
        <f>E22+E24</f>
        <v>345708.0134999998</v>
      </c>
      <c r="F25" s="5">
        <f>F22+F24</f>
        <v>352622.1737699999</v>
      </c>
    </row>
    <row r="26" spans="1:6" x14ac:dyDescent="0.25">
      <c r="A26" t="s">
        <v>178</v>
      </c>
      <c r="C26" s="5">
        <f>-ibi_a*C34</f>
        <v>-5400</v>
      </c>
      <c r="D26" s="5">
        <f>-ibi_a*D34</f>
        <v>-5508</v>
      </c>
      <c r="E26" s="5">
        <f>-ibi_a*E34</f>
        <v>-5618.16</v>
      </c>
      <c r="F26" s="5">
        <f>-ibi_a*F34</f>
        <v>-5730.5232000000005</v>
      </c>
    </row>
    <row r="27" spans="1:6" x14ac:dyDescent="0.25">
      <c r="A27" t="s">
        <v>179</v>
      </c>
      <c r="C27" s="5">
        <f>-cost_unit_n*12*ins_m*C34</f>
        <v>-3240</v>
      </c>
      <c r="D27" s="5">
        <f>-cost_unit_n*12*ins_m*D34</f>
        <v>-3304.8</v>
      </c>
      <c r="E27" s="5">
        <f>-cost_unit_n*12*ins_m*E34</f>
        <v>-3370.896</v>
      </c>
      <c r="F27" s="5">
        <f>-cost_unit_n*12*ins_m*F34</f>
        <v>-3438.3139200000005</v>
      </c>
    </row>
    <row r="28" spans="1:6" x14ac:dyDescent="0.25">
      <c r="A28" s="3" t="s">
        <v>180</v>
      </c>
      <c r="C28" s="5">
        <f>C26+C27</f>
        <v>-8640</v>
      </c>
      <c r="D28" s="5">
        <f>D26+D27</f>
        <v>-8812.8</v>
      </c>
      <c r="E28" s="5">
        <f>E26+E27</f>
        <v>-8989.056</v>
      </c>
      <c r="F28" s="5">
        <f>F26+F27</f>
        <v>-9168.83712</v>
      </c>
    </row>
    <row r="29" spans="1:6" x14ac:dyDescent="0.25">
      <c r="A29" s="3" t="s">
        <v>181</v>
      </c>
      <c r="C29" s="5">
        <f>C25+C28</f>
        <v>283122.8936195121</v>
      </c>
      <c r="D29" s="5">
        <f>D25+D28</f>
        <v>315608.50262195116</v>
      </c>
      <c r="E29" s="5">
        <f>E25+E28</f>
        <v>336718.95749999984</v>
      </c>
      <c r="F29" s="5">
        <f>F25+F28</f>
        <v>343453.3366499999</v>
      </c>
    </row>
    <row r="30" spans="1:6" x14ac:dyDescent="0.25">
      <c r="A30" t="s">
        <v>182</v>
      </c>
      <c r="C30" s="5">
        <f>-C9*ffe_pct</f>
        <v>-14230.619999999995</v>
      </c>
      <c r="D30" s="5">
        <f>-D9*ffe_pct</f>
        <v>-15570.899999999998</v>
      </c>
      <c r="E30" s="5">
        <f>-E9*ffe_pct</f>
        <v>-16485.443999999996</v>
      </c>
      <c r="F30" s="5">
        <f>-F9*ffe_pct</f>
        <v>-16815.152879999998</v>
      </c>
    </row>
    <row r="31" spans="1:6" x14ac:dyDescent="0.25">
      <c r="A31" s="3" t="s">
        <v>183</v>
      </c>
      <c r="C31" s="5">
        <f>C29+C30</f>
        <v>268892.2736195121</v>
      </c>
      <c r="D31" s="5">
        <f>D29+D30</f>
        <v>300037.60262195114</v>
      </c>
      <c r="E31" s="5">
        <f>E29+E30</f>
        <v>320233.5134999998</v>
      </c>
      <c r="F31" s="5">
        <f>F29+F30</f>
        <v>326638.1837699999</v>
      </c>
    </row>
    <row r="33" spans="1:6" x14ac:dyDescent="0.25">
      <c r="A33" t="s">
        <v>184</v>
      </c>
      <c r="C33" s="5">
        <f>C5+C6+C10+C11+C12+C13</f>
        <v>443319.4352195121</v>
      </c>
      <c r="D33" s="5">
        <f>D5+D6+D10+D11+D12+D13</f>
        <v>486060.8346219511</v>
      </c>
      <c r="E33" s="5">
        <f>E5+E6+E10+E11+E12+E13</f>
        <v>514609.2178199998</v>
      </c>
      <c r="F33" s="5">
        <f>F5+F6+F10+F11+F12+F13</f>
        <v>524901.4021763998</v>
      </c>
    </row>
    <row r="34" spans="1:6" x14ac:dyDescent="0.25">
      <c r="A34" t="s">
        <v>185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</row>
    <row r="35" spans="1:6" x14ac:dyDescent="0.25">
      <c r="A35" t="s">
        <v>186</v>
      </c>
      <c r="C35" s="5">
        <f>C33+C15+C16+C17+C18+C23+C26+C27+C30+C8+C7</f>
        <v>284756.2736195121</v>
      </c>
      <c r="D35" s="5">
        <f>D33+D15+D16+D17+D18+D23+D26+D27+D30+D8+D7</f>
        <v>316218.88262195117</v>
      </c>
      <c r="E35" s="5">
        <f>E33+E15+E16+E17+E18+E23+E26+E27+E30+E8+E7</f>
        <v>336738.4190999998</v>
      </c>
      <c r="F35" s="5">
        <f>F33+F15+F16+F17+F18+F23+F26+F27+F30+F8+F7</f>
        <v>343473.18748199986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6" width="12" customWidth="1"/>
  </cols>
  <sheetData>
    <row r="1" spans="1:1" x14ac:dyDescent="0.25">
      <c r="A1" s="2" t="s">
        <v>187</v>
      </c>
    </row>
    <row r="3" spans="1:2" x14ac:dyDescent="0.25">
      <c r="A3" t="s">
        <v>13</v>
      </c>
      <c r="B3" s="5">
        <f>ltv*tpc</f>
        <v>1524438.775510204</v>
      </c>
    </row>
    <row r="4" spans="1:2" x14ac:dyDescent="0.25">
      <c r="A4" t="s">
        <v>15</v>
      </c>
      <c r="B4" s="5">
        <f>apertura_pct*B3+ajdm_pct*B3+tasacion_u*units_c+notaria_pct*B3+registro_pct*B3+gestoria_f</f>
        <v>36600.994897959186</v>
      </c>
    </row>
    <row r="5" spans="1:2" x14ac:dyDescent="0.25">
      <c r="A5" t="s">
        <v>16</v>
      </c>
      <c r="B5" s="5">
        <f>tpc-B3+B4</f>
        <v>1561039.7704081633</v>
      </c>
    </row>
    <row r="6" spans="1:2" x14ac:dyDescent="0.25">
      <c r="A6" t="s">
        <v>19</v>
      </c>
      <c r="B6" s="5">
        <f>B5*(1-gp_pct)</f>
        <v>1248831.8163265307</v>
      </c>
    </row>
    <row r="7" spans="1:2" x14ac:dyDescent="0.25">
      <c r="A7" t="s">
        <v>20</v>
      </c>
      <c r="B7" s="5">
        <f>B5*gp_pct</f>
        <v>312207.95408163266</v>
      </c>
    </row>
    <row r="8" spans="1:2" x14ac:dyDescent="0.25">
      <c r="A8" t="s">
        <v>21</v>
      </c>
      <c r="B8" s="5">
        <f>-PMT(rate/12,term*12,B3)*12</f>
        <v>124142.05655909583</v>
      </c>
    </row>
    <row r="10" spans="3:6" x14ac:dyDescent="0.25">
      <c r="C10" s="3" t="s">
        <v>152</v>
      </c>
      <c r="D10" s="3" t="s">
        <v>153</v>
      </c>
      <c r="E10" s="3" t="s">
        <v>154</v>
      </c>
      <c r="F10" s="3" t="s">
        <v>155</v>
      </c>
    </row>
    <row r="11" spans="1:6" x14ac:dyDescent="0.25">
      <c r="A11" t="s">
        <v>183</v>
      </c>
      <c r="C11" s="5">
        <f>'P&amp;L'!C31</f>
        <v>268892.2736195121</v>
      </c>
      <c r="D11" s="5">
        <f>'P&amp;L'!D31</f>
        <v>300037.60262195114</v>
      </c>
      <c r="E11" s="5">
        <f>'P&amp;L'!E31</f>
        <v>320233.5134999998</v>
      </c>
      <c r="F11" s="5">
        <f>'P&amp;L'!F31</f>
        <v>326638.1837699999</v>
      </c>
    </row>
    <row r="12" spans="1:6" x14ac:dyDescent="0.25">
      <c r="A12" t="s">
        <v>188</v>
      </c>
      <c r="C12" s="5">
        <f>IF(B$3=0,0,CUMIPMT(rate/12,term*12,B$3,1,12,0))</f>
        <v>-40877.7946068482</v>
      </c>
      <c r="D12" s="5">
        <f>IF(B$3=0,0,CUMIPMT(rate/12,term*12,B$3,13,24,0))</f>
        <v>-38558.94519178306</v>
      </c>
      <c r="E12" s="5">
        <f>IF(B$3=0,0,CUMIPMT(rate/12,term*12,B$3,25,36,0))</f>
        <v>-36175.51749927123</v>
      </c>
      <c r="F12" s="5">
        <f>IF(B$3=0,0,CUMIPMT(rate/12,term*12,B$3,37,48,0))</f>
        <v>-33725.71307103811</v>
      </c>
    </row>
    <row r="13" spans="1:6" x14ac:dyDescent="0.25">
      <c r="A13" t="s">
        <v>189</v>
      </c>
      <c r="C13" s="5">
        <f>IF(B$3=0,0,CUMPRINC(rate/12,term*12,B$3,1,12,0))</f>
        <v>-83264.26195224763</v>
      </c>
      <c r="D13" s="5">
        <f>IF(B$3=0,0,CUMPRINC(rate/12,term*12,B$3,13,24,0))</f>
        <v>-85583.11136731277</v>
      </c>
      <c r="E13" s="5">
        <f>IF(B$3=0,0,CUMPRINC(rate/12,term*12,B$3,25,36,0))</f>
        <v>-87966.5390598246</v>
      </c>
      <c r="F13" s="5">
        <f>IF(B$3=0,0,CUMPRINC(rate/12,term*12,B$3,37,48,0))</f>
        <v>-90416.34348805771</v>
      </c>
    </row>
    <row r="14" spans="1:6" x14ac:dyDescent="0.25">
      <c r="A14" t="s">
        <v>190</v>
      </c>
      <c r="C14" s="5">
        <f>C11+C12+C13</f>
        <v>144750.21706041624</v>
      </c>
      <c r="D14" s="5">
        <f>D11+D12+D13</f>
        <v>175895.54606285528</v>
      </c>
      <c r="E14" s="5">
        <f>E11+E12+E13</f>
        <v>196091.45694090397</v>
      </c>
      <c r="F14" s="5">
        <f>F11+F12+F13</f>
        <v>202496.12721090403</v>
      </c>
    </row>
    <row r="15" spans="1:6" x14ac:dyDescent="0.25">
      <c r="A15" t="s">
        <v>191</v>
      </c>
      <c r="C15" s="5">
        <f>MAX(0,C14)</f>
        <v>144750.21706041624</v>
      </c>
      <c r="D15" s="5">
        <f>MAX(0,D14)</f>
        <v>175895.54606285528</v>
      </c>
      <c r="E15" s="5">
        <f>MAX(0,E14)</f>
        <v>196091.45694090397</v>
      </c>
      <c r="F15" s="5">
        <f>MAX(0,F14)</f>
        <v>202496.12721090403</v>
      </c>
    </row>
    <row r="16" spans="1:6" x14ac:dyDescent="0.25">
      <c r="A16" t="s">
        <v>192</v>
      </c>
      <c r="C16" s="5">
        <f>1348738.3616326533</f>
        <v>1348738.3616326533</v>
      </c>
      <c r="D16" s="5">
        <f>1331573.2430230659</f>
        <v>1331573.2430230659</v>
      </c>
      <c r="E16" s="5">
        <f>1286125.350666604</f>
        <v>1286125.350666604</v>
      </c>
      <c r="F16" s="5">
        <f>1219592.3599229916</f>
        <v>1219592.3599229916</v>
      </c>
    </row>
    <row r="17" spans="1:6" x14ac:dyDescent="0.25">
      <c r="A17" t="s">
        <v>193</v>
      </c>
      <c r="C17" s="5">
        <f>1398691.6342857145</f>
        <v>1398691.6342857145</v>
      </c>
      <c r="D17" s="5">
        <f>1436838.4359138673</f>
        <v>1436838.4359138673</v>
      </c>
      <c r="E17" s="5">
        <f>1451656.638951213</f>
        <v>1451656.638951213</v>
      </c>
      <c r="F17" s="5">
        <f>1450157.490206309</f>
        <v>1450157.490206309</v>
      </c>
    </row>
    <row r="18" spans="1:6" x14ac:dyDescent="0.25">
      <c r="A18" t="s">
        <v>194</v>
      </c>
      <c r="C18" s="5">
        <f>0</f>
        <v>0</v>
      </c>
      <c r="D18" s="5">
        <f>C18+C22</f>
        <v>115800.173648333</v>
      </c>
      <c r="E18" s="5">
        <f>D18+D22</f>
        <v>256516.61049861723</v>
      </c>
      <c r="F18" s="5">
        <f>E18+E22</f>
        <v>413389.7760513404</v>
      </c>
    </row>
    <row r="19" spans="1:6" x14ac:dyDescent="0.25">
      <c r="A19" t="s">
        <v>195</v>
      </c>
      <c r="C19" s="5">
        <f>144750.21706041624</f>
        <v>144750.21706041624</v>
      </c>
      <c r="D19" s="5">
        <f>175895.54606285528</f>
        <v>175895.54606285528</v>
      </c>
      <c r="E19" s="5">
        <f>196091.45694090397</f>
        <v>196091.45694090397</v>
      </c>
      <c r="F19" s="5">
        <f>202496.12721090403</f>
        <v>202496.12721090403</v>
      </c>
    </row>
    <row r="20" spans="1:6" x14ac:dyDescent="0.25">
      <c r="A20" t="s">
        <v>196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</row>
    <row r="21" spans="1:6" x14ac:dyDescent="0.25">
      <c r="A21" t="s">
        <v>197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</row>
    <row r="22" spans="1:6" x14ac:dyDescent="0.25">
      <c r="A22" t="s">
        <v>198</v>
      </c>
      <c r="C22" s="5">
        <f>115800.173648333</f>
        <v>115800.173648333</v>
      </c>
      <c r="D22" s="5">
        <f>140716.43685028423</f>
        <v>140716.43685028423</v>
      </c>
      <c r="E22" s="5">
        <f>156873.1655527232</f>
        <v>156873.1655527232</v>
      </c>
      <c r="F22" s="5">
        <f>161996.90176872324</f>
        <v>161996.90176872324</v>
      </c>
    </row>
    <row r="23" spans="1:6" x14ac:dyDescent="0.25">
      <c r="A23" t="s">
        <v>199</v>
      </c>
      <c r="C23" s="5">
        <f>28950.043412083236</f>
        <v>28950.043412083236</v>
      </c>
      <c r="D23" s="5">
        <f>35179.10921257106</f>
        <v>35179.10921257106</v>
      </c>
      <c r="E23" s="5">
        <f>39218.291388180776</f>
        <v>39218.291388180776</v>
      </c>
      <c r="F23" s="5">
        <f>40499.22544218079</f>
        <v>40499.22544218079</v>
      </c>
    </row>
    <row r="25" spans="1:2" x14ac:dyDescent="0.25">
      <c r="A25" t="s">
        <v>200</v>
      </c>
      <c r="B25" s="5">
        <f>'P&amp;L'!F31</f>
        <v>326638.1837699999</v>
      </c>
    </row>
    <row r="26" spans="1:2" x14ac:dyDescent="0.25">
      <c r="A26" t="s">
        <v>201</v>
      </c>
      <c r="B26" s="5">
        <f>B25/cap</f>
        <v>4666259.768142855</v>
      </c>
    </row>
    <row r="27" spans="1:2" x14ac:dyDescent="0.25">
      <c r="A27" t="s">
        <v>27</v>
      </c>
      <c r="B27" s="5">
        <f>-B26*sell_pct</f>
        <v>-93325.19536285709</v>
      </c>
    </row>
    <row r="28" spans="1:2" x14ac:dyDescent="0.25">
      <c r="A28" t="s">
        <v>202</v>
      </c>
      <c r="B28" s="5">
        <f>IF(B$3=0,0,B$3+CUMPRINC(rate/12,term*12,B$3,1,48,0))</f>
        <v>1177208.5196427607</v>
      </c>
    </row>
    <row r="29" spans="1:2" x14ac:dyDescent="0.25">
      <c r="A29" t="s">
        <v>203</v>
      </c>
      <c r="B29" s="5">
        <f>B26+B27-B28</f>
        <v>3395726.0531372363</v>
      </c>
    </row>
    <row r="30" spans="1:2" x14ac:dyDescent="0.25">
      <c r="A30" t="s">
        <v>204</v>
      </c>
      <c r="B30" s="5">
        <f>MAX(0,B29-eq_total)</f>
        <v>1834686.282729073</v>
      </c>
    </row>
    <row r="31" spans="1:2" x14ac:dyDescent="0.25">
      <c r="A31" t="s">
        <v>205</v>
      </c>
      <c r="B31" s="5">
        <f>2334772.3721756684</f>
        <v>2334772.3721756684</v>
      </c>
    </row>
    <row r="32" spans="1:2" x14ac:dyDescent="0.25">
      <c r="A32" t="s">
        <v>206</v>
      </c>
      <c r="B32" s="5">
        <f>1060953.680961568</f>
        <v>1060953.680961568</v>
      </c>
    </row>
    <row r="34" spans="1:6" x14ac:dyDescent="0.25">
      <c r="A34" t="s">
        <v>207</v>
      </c>
      <c r="B34" s="5">
        <f>-eq_lp</f>
        <v>-1248831.8163265307</v>
      </c>
      <c r="C34" s="5">
        <f>C22</f>
        <v>115800.173648333</v>
      </c>
      <c r="D34" s="5">
        <f>D22</f>
        <v>140716.43685028423</v>
      </c>
      <c r="E34" s="5">
        <f>E22</f>
        <v>156873.1655527232</v>
      </c>
      <c r="F34" s="5">
        <f>F22+B31</f>
        <v>2496769.2739443914</v>
      </c>
    </row>
    <row r="36" spans="1:2" x14ac:dyDescent="0.25">
      <c r="A36" s="3" t="s">
        <v>31</v>
      </c>
      <c r="B36" s="6">
        <f>IRR(B34:F34)</f>
        <v>0.2602045427259285</v>
      </c>
    </row>
    <row r="37" spans="1:2" x14ac:dyDescent="0.25">
      <c r="A37" s="3" t="s">
        <v>208</v>
      </c>
      <c r="B37" s="5">
        <f>SUM(C22:F22)+B31</f>
        <v>2910159.049995732</v>
      </c>
    </row>
    <row r="38" spans="1:2" x14ac:dyDescent="0.25">
      <c r="A38" s="3" t="s">
        <v>209</v>
      </c>
      <c r="B38" s="7">
        <f>B37/eq_lp</f>
        <v>2.330305019418897</v>
      </c>
    </row>
    <row r="39" spans="1:2" x14ac:dyDescent="0.25">
      <c r="A39" s="3" t="s">
        <v>210</v>
      </c>
      <c r="B39" s="6">
        <f>'P&amp;L'!E31/tpc</f>
        <v>0.10503324851233302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6" width="12" customWidth="1"/>
  </cols>
  <sheetData>
    <row r="1" spans="1:1" x14ac:dyDescent="0.25">
      <c r="A1" s="2" t="s">
        <v>211</v>
      </c>
    </row>
    <row r="3" spans="1:1" x14ac:dyDescent="0.25">
      <c r="A3" s="3" t="s">
        <v>212</v>
      </c>
    </row>
    <row r="4" spans="2:6" x14ac:dyDescent="0.25">
      <c r="B4" s="3" t="s">
        <v>213</v>
      </c>
      <c r="C4" s="3" t="s">
        <v>152</v>
      </c>
      <c r="D4" s="3" t="s">
        <v>153</v>
      </c>
      <c r="E4" s="3" t="s">
        <v>154</v>
      </c>
      <c r="F4" s="3" t="s">
        <v>155</v>
      </c>
    </row>
    <row r="5" spans="1:2" x14ac:dyDescent="0.25">
      <c r="A5" t="s">
        <v>214</v>
      </c>
      <c r="B5" s="5">
        <f>-IF(Assumptions!$B$47&gt;0,tpc,cost_base)</f>
        <v>-3018080.8080808083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-89439</v>
      </c>
    </row>
    <row r="8" spans="1:2" x14ac:dyDescent="0.25">
      <c r="A8" t="s">
        <v>215</v>
      </c>
      <c r="B8" s="5">
        <f>Assumptions!$B$47*tpc</f>
        <v>0</v>
      </c>
    </row>
    <row r="9" spans="1:2" x14ac:dyDescent="0.25">
      <c r="A9" t="s">
        <v>216</v>
      </c>
      <c r="B9" s="5">
        <f>(-(B5+B8+B6)-B7)*(1-gp_pct)</f>
        <v>2486015.846464647</v>
      </c>
    </row>
    <row r="10" spans="1:2" x14ac:dyDescent="0.25">
      <c r="A10" t="s">
        <v>217</v>
      </c>
      <c r="B10" s="5">
        <f>(-(B5+B8+B6)-B7)*gp_pct</f>
        <v>621503.9616161617</v>
      </c>
    </row>
    <row r="11" spans="1:2" x14ac:dyDescent="0.25">
      <c r="A11" s="3" t="s">
        <v>218</v>
      </c>
      <c r="B11" s="5">
        <f>SUM(B5:B10)</f>
        <v>0</v>
      </c>
    </row>
    <row r="13" spans="1:6" x14ac:dyDescent="0.25">
      <c r="A13" t="s">
        <v>183</v>
      </c>
      <c r="C13" s="5">
        <f>'P&amp;L'!C31</f>
        <v>268892.2736195121</v>
      </c>
      <c r="D13" s="5">
        <f>'P&amp;L'!D31</f>
        <v>300037.60262195114</v>
      </c>
      <c r="E13" s="5">
        <f>'P&amp;L'!E31</f>
        <v>320233.5134999998</v>
      </c>
      <c r="F13" s="5">
        <f>'P&amp;L'!F31</f>
        <v>326638.1837699999</v>
      </c>
    </row>
    <row r="14" spans="1:6" x14ac:dyDescent="0.25">
      <c r="A14" t="s">
        <v>188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</row>
    <row r="15" spans="1:6" x14ac:dyDescent="0.25">
      <c r="A15" t="s">
        <v>189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</row>
    <row r="16" spans="1:6" x14ac:dyDescent="0.25">
      <c r="A16" t="s">
        <v>219</v>
      </c>
      <c r="C16" s="5">
        <f>C13+C14+C15</f>
        <v>268892.2736195121</v>
      </c>
      <c r="D16" s="5">
        <f>D13+D14+D15</f>
        <v>300037.60262195114</v>
      </c>
      <c r="E16" s="5">
        <f>E13+E14+E15</f>
        <v>320233.5134999998</v>
      </c>
      <c r="F16" s="5">
        <f>F13+F14+F15</f>
        <v>326638.1837699999</v>
      </c>
    </row>
    <row r="17" spans="1:6" x14ac:dyDescent="0.25">
      <c r="A17" t="s">
        <v>220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</row>
    <row r="18" spans="1:6" x14ac:dyDescent="0.25">
      <c r="A18" t="s">
        <v>221</v>
      </c>
      <c r="C18" s="5">
        <f>IF(1=MIN(MAX(1,ROUNDUP(vat_months/12,0)),4),-B7,0)</f>
        <v>89439</v>
      </c>
      <c r="D18" s="5">
        <f>IF(2=MIN(MAX(1,ROUNDUP(vat_months/12,0)),4),-B7,0)</f>
        <v>0</v>
      </c>
      <c r="E18" s="5">
        <f>IF(3=MIN(MAX(1,ROUNDUP(vat_months/12,0)),4),-B7,0)</f>
        <v>0</v>
      </c>
      <c r="F18" s="5">
        <f>IF(4=MIN(MAX(1,ROUNDUP(vat_months/12,0)),4),-B7,0)</f>
        <v>0</v>
      </c>
    </row>
    <row r="19" spans="1:6" x14ac:dyDescent="0.25">
      <c r="A19" t="s">
        <v>222</v>
      </c>
      <c r="C19" s="5">
        <f>C16+C17+C18</f>
        <v>358331.2736195121</v>
      </c>
      <c r="D19" s="5">
        <f>C19+D16+D17+D18</f>
        <v>658368.8762414632</v>
      </c>
      <c r="E19" s="5">
        <f>D19+E16+E17+E18</f>
        <v>978602.3897414631</v>
      </c>
      <c r="F19" s="5">
        <f>E19+F16+F17+F18</f>
        <v>1305240.5735114631</v>
      </c>
    </row>
    <row r="20" spans="1:6" x14ac:dyDescent="0.25">
      <c r="A20" t="s">
        <v>223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</row>
    <row r="22" spans="1:6" x14ac:dyDescent="0.25">
      <c r="A22" t="s">
        <v>26</v>
      </c>
      <c r="C22" s="5">
        <f>IF(1=4,'P&amp;L'!F31/cap,0)</f>
        <v>0</v>
      </c>
      <c r="D22" s="5">
        <f>IF(2=4,'P&amp;L'!F31/cap,0)</f>
        <v>0</v>
      </c>
      <c r="E22" s="5">
        <f>IF(3=4,'P&amp;L'!F31/cap,0)</f>
        <v>0</v>
      </c>
      <c r="F22" s="5">
        <f>IF(4=4,'P&amp;L'!F31/cap,0)</f>
        <v>4666259.768142855</v>
      </c>
    </row>
    <row r="23" spans="1:6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-93325.19536285754</v>
      </c>
    </row>
    <row r="24" spans="1:6" x14ac:dyDescent="0.25">
      <c r="A24" t="s">
        <v>28</v>
      </c>
      <c r="C24" s="5">
        <f>IF(1&lt;4,0,IF(B8=0,0,-(B8+CUMPRINC(Assumptions!$B$48/12,Assumptions!$B$49*12,B8,1,48,0))))</f>
        <v>0</v>
      </c>
      <c r="D24" s="5">
        <f>IF(2&lt;4,0,IF(B8=0,0,-(B8+CUMPRINC(Assumptions!$B$48/12,Assumptions!$B$49*12,B8,1,48,0))))</f>
        <v>0</v>
      </c>
      <c r="E24" s="5">
        <f>IF(3&lt;4,0,IF(B8=0,0,-(B8+CUMPRINC(Assumptions!$B$48/12,Assumptions!$B$49*12,B8,1,48,0))))</f>
        <v>0</v>
      </c>
      <c r="F24" s="5">
        <f>IF(4&lt;4,0,IF(B8=0,0,-(B8+CUMPRINC(Assumptions!$B$48/12,Assumptions!$B$49*12,B8,1,48,0))))</f>
        <v>0</v>
      </c>
    </row>
    <row r="25" spans="1:6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4572934.572779997</v>
      </c>
    </row>
    <row r="27" spans="1:6" x14ac:dyDescent="0.25">
      <c r="A27" t="s">
        <v>198</v>
      </c>
      <c r="C27" s="5">
        <f>215113.8188956097</f>
        <v>215113.8188956097</v>
      </c>
      <c r="D27" s="5">
        <f>240030.08209756092</f>
        <v>240030.08209756092</v>
      </c>
      <c r="E27" s="5">
        <f>256186.81079999986</f>
        <v>256186.81079999986</v>
      </c>
      <c r="F27" s="5">
        <f>261310.5470159999</f>
        <v>261310.5470159999</v>
      </c>
    </row>
    <row r="28" spans="1:6" x14ac:dyDescent="0.25">
      <c r="A28" t="s">
        <v>199</v>
      </c>
      <c r="C28" s="5">
        <f>53778.454723902396</f>
        <v>53778.454723902396</v>
      </c>
      <c r="D28" s="5">
        <f>60007.52052439022</f>
        <v>60007.52052439022</v>
      </c>
      <c r="E28" s="5">
        <f>64046.702699999965</f>
        <v>64046.702699999965</v>
      </c>
      <c r="F28" s="5">
        <f>65327.63675399998</f>
        <v>65327.63675399998</v>
      </c>
    </row>
    <row r="29" spans="1:6" x14ac:dyDescent="0.25">
      <c r="A29" t="s">
        <v>224</v>
      </c>
      <c r="C29" s="5">
        <f>IF(1=4,3357272.8383205417,0)</f>
        <v>0</v>
      </c>
      <c r="D29" s="5">
        <f>IF(2=4,3357272.8383205417,0)</f>
        <v>0</v>
      </c>
      <c r="E29" s="5">
        <f>IF(3=4,3357272.8383205417,0)</f>
        <v>0</v>
      </c>
      <c r="F29" s="5">
        <f>IF(4=4,3357272.8383205417,0)</f>
        <v>3357272.8383205417</v>
      </c>
    </row>
    <row r="30" spans="1:6" x14ac:dyDescent="0.25">
      <c r="A30" t="s">
        <v>225</v>
      </c>
      <c r="C30" s="5">
        <f>IF(1=4,1215661.7344594556,0)</f>
        <v>0</v>
      </c>
      <c r="D30" s="5">
        <f>IF(2=4,1215661.7344594556,0)</f>
        <v>0</v>
      </c>
      <c r="E30" s="5">
        <f>IF(3=4,1215661.7344594556,0)</f>
        <v>0</v>
      </c>
      <c r="F30" s="5">
        <f>IF(4=4,1215661.7344594556,0)</f>
        <v>1215661.7344594556</v>
      </c>
    </row>
    <row r="31" spans="1:6" x14ac:dyDescent="0.25">
      <c r="A31" t="s">
        <v>226</v>
      </c>
      <c r="C31" s="5">
        <f>(C17+C18)*(1-gp_pct)</f>
        <v>71551.2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</row>
    <row r="32" spans="1:6" x14ac:dyDescent="0.25">
      <c r="A32" t="s">
        <v>227</v>
      </c>
      <c r="C32" s="5">
        <f>(C17+C18)*gp_pct</f>
        <v>17887.799999999996</v>
      </c>
      <c r="D32" s="5">
        <f>(D17+D18)*gp_pct</f>
        <v>0</v>
      </c>
      <c r="E32" s="5">
        <f>(E17+E18)*gp_pct</f>
        <v>0</v>
      </c>
      <c r="F32" s="5">
        <f>(F17+F18)*gp_pct</f>
        <v>0</v>
      </c>
    </row>
    <row r="33" spans="1:6" x14ac:dyDescent="0.25">
      <c r="A33" s="3" t="s">
        <v>228</v>
      </c>
      <c r="C33" s="5">
        <f>SUM(C27:C32)</f>
        <v>358331.2736195121</v>
      </c>
      <c r="D33" s="5">
        <f>SUM(D27:D32)</f>
        <v>300037.60262195114</v>
      </c>
      <c r="E33" s="5">
        <f>SUM(E27:E32)</f>
        <v>320233.5134999998</v>
      </c>
      <c r="F33" s="5">
        <f>SUM(F27:F32)</f>
        <v>4899572.756549997</v>
      </c>
    </row>
    <row r="35" spans="1:6" x14ac:dyDescent="0.25">
      <c r="A35" t="s">
        <v>229</v>
      </c>
      <c r="C35" s="5">
        <f>C16+C17+C18+C25</f>
        <v>358331.2736195121</v>
      </c>
      <c r="D35" s="5">
        <f>D16+D17+D18+D25</f>
        <v>300037.60262195114</v>
      </c>
      <c r="E35" s="5">
        <f>E16+E17+E18+E25</f>
        <v>320233.5134999998</v>
      </c>
      <c r="F35" s="5">
        <f>F16+F17+F18+F25</f>
        <v>4899572.756549997</v>
      </c>
    </row>
    <row r="36" spans="1:6" x14ac:dyDescent="0.25">
      <c r="A36" t="s">
        <v>230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</row>
    <row r="38" spans="1:6" x14ac:dyDescent="0.25">
      <c r="A38" t="s">
        <v>231</v>
      </c>
      <c r="B38" s="5">
        <f>-B9</f>
        <v>-2486015.846464647</v>
      </c>
      <c r="C38" s="5">
        <f>C27+C29+C31</f>
        <v>286665.0188956097</v>
      </c>
      <c r="D38" s="5">
        <f>D27+D29+D31</f>
        <v>240030.08209756092</v>
      </c>
      <c r="E38" s="5">
        <f>E27+E29+E31</f>
        <v>256186.81079999986</v>
      </c>
      <c r="F38" s="5">
        <f>F27+F29+F31</f>
        <v>3618583.3853365416</v>
      </c>
    </row>
    <row r="39" spans="1:6" x14ac:dyDescent="0.25">
      <c r="A39" t="s">
        <v>232</v>
      </c>
      <c r="B39" s="5">
        <f>B38</f>
        <v>-2486015.846464647</v>
      </c>
      <c r="C39" s="5">
        <f>B39+C38</f>
        <v>-2199350.827569037</v>
      </c>
      <c r="D39" s="5">
        <f>C39+D38</f>
        <v>-1959320.7454714763</v>
      </c>
      <c r="E39" s="5">
        <f>D39+E38</f>
        <v>-1703133.9346714765</v>
      </c>
      <c r="F39" s="5">
        <f>E39+F38</f>
        <v>1915449.450665065</v>
      </c>
    </row>
    <row r="42" spans="1:1" x14ac:dyDescent="0.25">
      <c r="A42" s="3" t="s">
        <v>233</v>
      </c>
    </row>
    <row r="43" spans="2:6" x14ac:dyDescent="0.25">
      <c r="B43" s="3" t="s">
        <v>213</v>
      </c>
      <c r="C43" s="3" t="s">
        <v>152</v>
      </c>
      <c r="D43" s="3" t="s">
        <v>153</v>
      </c>
      <c r="E43" s="3" t="s">
        <v>154</v>
      </c>
      <c r="F43" s="3" t="s">
        <v>155</v>
      </c>
    </row>
    <row r="44" spans="1:2" x14ac:dyDescent="0.25">
      <c r="A44" t="s">
        <v>214</v>
      </c>
      <c r="B44" s="5">
        <f>-IF(Assumptions!$C$47&gt;0,tpc,cost_base)</f>
        <v>-3048877.551020408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-36600.994897959186</v>
      </c>
    </row>
    <row r="46" spans="1:2" x14ac:dyDescent="0.25">
      <c r="A46" t="s">
        <v>17</v>
      </c>
      <c r="B46" s="5">
        <f>-vat_float</f>
        <v>-89439</v>
      </c>
    </row>
    <row r="47" spans="1:2" x14ac:dyDescent="0.25">
      <c r="A47" t="s">
        <v>215</v>
      </c>
      <c r="B47" s="5">
        <f>Assumptions!$C$47*tpc</f>
        <v>1524438.775510204</v>
      </c>
    </row>
    <row r="48" spans="1:2" x14ac:dyDescent="0.25">
      <c r="A48" t="s">
        <v>216</v>
      </c>
      <c r="B48" s="5">
        <f>(-(B44+B47+B45)-B46)*(1-gp_pct)</f>
        <v>1320383.0163265306</v>
      </c>
    </row>
    <row r="49" spans="1:2" x14ac:dyDescent="0.25">
      <c r="A49" t="s">
        <v>217</v>
      </c>
      <c r="B49" s="5">
        <f>(-(B44+B47+B45)-B46)*gp_pct</f>
        <v>330095.75408163265</v>
      </c>
    </row>
    <row r="50" spans="1:2" x14ac:dyDescent="0.25">
      <c r="A50" s="3" t="s">
        <v>218</v>
      </c>
      <c r="B50" s="5">
        <f>SUM(B44:B49)</f>
        <v>0</v>
      </c>
    </row>
    <row r="52" spans="1:6" x14ac:dyDescent="0.25">
      <c r="A52" t="s">
        <v>183</v>
      </c>
      <c r="C52" s="5">
        <f>'P&amp;L'!C31</f>
        <v>268892.2736195121</v>
      </c>
      <c r="D52" s="5">
        <f>'P&amp;L'!D31</f>
        <v>300037.60262195114</v>
      </c>
      <c r="E52" s="5">
        <f>'P&amp;L'!E31</f>
        <v>320233.5134999998</v>
      </c>
      <c r="F52" s="5">
        <f>'P&amp;L'!F31</f>
        <v>326638.1837699999</v>
      </c>
    </row>
    <row r="53" spans="1:6" x14ac:dyDescent="0.25">
      <c r="A53" t="s">
        <v>188</v>
      </c>
      <c r="C53" s="5">
        <f>IF(B47=0,0,CUMIPMT(Assumptions!$C$48/12,Assumptions!$C$49*12,B47,1,12,0))</f>
        <v>-40877.7946068482</v>
      </c>
      <c r="D53" s="5">
        <f>IF(B47=0,0,CUMIPMT(Assumptions!$C$48/12,Assumptions!$C$49*12,B47,13,24,0))</f>
        <v>-38558.94519178306</v>
      </c>
      <c r="E53" s="5">
        <f>IF(B47=0,0,CUMIPMT(Assumptions!$C$48/12,Assumptions!$C$49*12,B47,25,36,0))</f>
        <v>-36175.51749927123</v>
      </c>
      <c r="F53" s="5">
        <f>IF(B47=0,0,CUMIPMT(Assumptions!$C$48/12,Assumptions!$C$49*12,B47,37,48,0))</f>
        <v>-33725.71307103811</v>
      </c>
    </row>
    <row r="54" spans="1:6" x14ac:dyDescent="0.25">
      <c r="A54" t="s">
        <v>189</v>
      </c>
      <c r="C54" s="5">
        <f>IF(B47=0,0,CUMPRINC(Assumptions!$C$48/12,Assumptions!$C$49*12,B47,1,12,0))</f>
        <v>-83264.26195224763</v>
      </c>
      <c r="D54" s="5">
        <f>IF(B47=0,0,CUMPRINC(Assumptions!$C$48/12,Assumptions!$C$49*12,B47,13,24,0))</f>
        <v>-85583.11136731277</v>
      </c>
      <c r="E54" s="5">
        <f>IF(B47=0,0,CUMPRINC(Assumptions!$C$48/12,Assumptions!$C$49*12,B47,25,36,0))</f>
        <v>-87966.5390598246</v>
      </c>
      <c r="F54" s="5">
        <f>IF(B47=0,0,CUMPRINC(Assumptions!$C$48/12,Assumptions!$C$49*12,B47,37,48,0))</f>
        <v>-90416.34348805771</v>
      </c>
    </row>
    <row r="55" spans="1:6" x14ac:dyDescent="0.25">
      <c r="A55" t="s">
        <v>219</v>
      </c>
      <c r="C55" s="5">
        <f>C52+C53+C54</f>
        <v>144750.21706041624</v>
      </c>
      <c r="D55" s="5">
        <f>D52+D53+D54</f>
        <v>175895.54606285528</v>
      </c>
      <c r="E55" s="5">
        <f>E52+E53+E54</f>
        <v>196091.45694090397</v>
      </c>
      <c r="F55" s="5">
        <f>F52+F53+F54</f>
        <v>202496.12721090403</v>
      </c>
    </row>
    <row r="56" spans="1:6" x14ac:dyDescent="0.25">
      <c r="A56" t="s">
        <v>220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</row>
    <row r="57" spans="1:6" x14ac:dyDescent="0.25">
      <c r="A57" t="s">
        <v>221</v>
      </c>
      <c r="C57" s="5">
        <f>IF(1=MIN(MAX(1,ROUNDUP(vat_months/12,0)),4),-B46,0)</f>
        <v>89439</v>
      </c>
      <c r="D57" s="5">
        <f>IF(2=MIN(MAX(1,ROUNDUP(vat_months/12,0)),4),-B46,0)</f>
        <v>0</v>
      </c>
      <c r="E57" s="5">
        <f>IF(3=MIN(MAX(1,ROUNDUP(vat_months/12,0)),4),-B46,0)</f>
        <v>0</v>
      </c>
      <c r="F57" s="5">
        <f>IF(4=MIN(MAX(1,ROUNDUP(vat_months/12,0)),4),-B46,0)</f>
        <v>0</v>
      </c>
    </row>
    <row r="58" spans="1:6" x14ac:dyDescent="0.25">
      <c r="A58" t="s">
        <v>222</v>
      </c>
      <c r="C58" s="5">
        <f>C55+C56+C57</f>
        <v>234189.21706041624</v>
      </c>
      <c r="D58" s="5">
        <f>C58+D55+D56+D57</f>
        <v>410084.7631232715</v>
      </c>
      <c r="E58" s="5">
        <f>D58+E55+E56+E57</f>
        <v>606176.2200641755</v>
      </c>
      <c r="F58" s="5">
        <f>E58+F55+F56+F57</f>
        <v>808672.3472750796</v>
      </c>
    </row>
    <row r="59" spans="1:6" x14ac:dyDescent="0.25">
      <c r="A59" t="s">
        <v>223</v>
      </c>
      <c r="C59" s="7">
        <f>IF((C53+C54)=0,0,-C52/(C53+C54))</f>
        <v>2.1660046649179705</v>
      </c>
      <c r="D59" s="7">
        <f>IF((D53+D54)=0,0,-D52/(D53+D54))</f>
        <v>2.416889255247057</v>
      </c>
      <c r="E59" s="7">
        <f>IF((E53+E54)=0,0,-E52/(E53+E54))</f>
        <v>2.5795731307831025</v>
      </c>
      <c r="F59" s="7">
        <f>IF((F53+F54)=0,0,-F52/(F53+F54))</f>
        <v>2.6311645933987653</v>
      </c>
    </row>
    <row r="61" spans="1:6" x14ac:dyDescent="0.25">
      <c r="A61" t="s">
        <v>26</v>
      </c>
      <c r="C61" s="5">
        <f>IF(1=4,'P&amp;L'!F31/cap,0)</f>
        <v>0</v>
      </c>
      <c r="D61" s="5">
        <f>IF(2=4,'P&amp;L'!F31/cap,0)</f>
        <v>0</v>
      </c>
      <c r="E61" s="5">
        <f>IF(3=4,'P&amp;L'!F31/cap,0)</f>
        <v>0</v>
      </c>
      <c r="F61" s="5">
        <f>IF(4=4,'P&amp;L'!F31/cap,0)</f>
        <v>4666259.768142855</v>
      </c>
    </row>
    <row r="62" spans="1:6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-93325.19536285754</v>
      </c>
    </row>
    <row r="63" spans="1:6" x14ac:dyDescent="0.25">
      <c r="A63" t="s">
        <v>28</v>
      </c>
      <c r="C63" s="5">
        <f>IF(1&lt;4,0,IF(B47=0,0,-(B47+CUMPRINC(Assumptions!$C$48/12,Assumptions!$C$49*12,B47,1,48,0))))</f>
        <v>0</v>
      </c>
      <c r="D63" s="5">
        <f>IF(2&lt;4,0,IF(B47=0,0,-(B47+CUMPRINC(Assumptions!$C$48/12,Assumptions!$C$49*12,B47,1,48,0))))</f>
        <v>0</v>
      </c>
      <c r="E63" s="5">
        <f>IF(3&lt;4,0,IF(B47=0,0,-(B47+CUMPRINC(Assumptions!$C$48/12,Assumptions!$C$49*12,B47,1,48,0))))</f>
        <v>0</v>
      </c>
      <c r="F63" s="5">
        <f>IF(4&lt;4,0,IF(B47=0,0,-(B47+CUMPRINC(Assumptions!$C$48/12,Assumptions!$C$49*12,B47,1,48,0))))</f>
        <v>-1177208.5196427607</v>
      </c>
    </row>
    <row r="64" spans="1:6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3395726.0531372363</v>
      </c>
    </row>
    <row r="66" spans="1:6" x14ac:dyDescent="0.25">
      <c r="A66" t="s">
        <v>198</v>
      </c>
      <c r="C66" s="5">
        <f>115800.173648333</f>
        <v>115800.173648333</v>
      </c>
      <c r="D66" s="5">
        <f>140716.43685028423</f>
        <v>140716.43685028423</v>
      </c>
      <c r="E66" s="5">
        <f>156873.1655527232</f>
        <v>156873.1655527232</v>
      </c>
      <c r="F66" s="5">
        <f>161996.90176872324</f>
        <v>161996.90176872324</v>
      </c>
    </row>
    <row r="67" spans="1:6" x14ac:dyDescent="0.25">
      <c r="A67" t="s">
        <v>199</v>
      </c>
      <c r="C67" s="5">
        <f>28950.043412083236</f>
        <v>28950.043412083236</v>
      </c>
      <c r="D67" s="5">
        <f>35179.10921257106</f>
        <v>35179.10921257106</v>
      </c>
      <c r="E67" s="5">
        <f>39218.291388180776</f>
        <v>39218.291388180776</v>
      </c>
      <c r="F67" s="5">
        <f>40499.22544218079</f>
        <v>40499.22544218079</v>
      </c>
    </row>
    <row r="68" spans="1:6" x14ac:dyDescent="0.25">
      <c r="A68" t="s">
        <v>224</v>
      </c>
      <c r="C68" s="5">
        <f>IF(1=4,2334772.3721756684,0)</f>
        <v>0</v>
      </c>
      <c r="D68" s="5">
        <f>IF(2=4,2334772.3721756684,0)</f>
        <v>0</v>
      </c>
      <c r="E68" s="5">
        <f>IF(3=4,2334772.3721756684,0)</f>
        <v>0</v>
      </c>
      <c r="F68" s="5">
        <f>IF(4=4,2334772.3721756684,0)</f>
        <v>2334772.3721756684</v>
      </c>
    </row>
    <row r="69" spans="1:6" x14ac:dyDescent="0.25">
      <c r="A69" t="s">
        <v>225</v>
      </c>
      <c r="C69" s="5">
        <f>IF(1=4,1060953.680961568,0)</f>
        <v>0</v>
      </c>
      <c r="D69" s="5">
        <f>IF(2=4,1060953.680961568,0)</f>
        <v>0</v>
      </c>
      <c r="E69" s="5">
        <f>IF(3=4,1060953.680961568,0)</f>
        <v>0</v>
      </c>
      <c r="F69" s="5">
        <f>IF(4=4,1060953.680961568,0)</f>
        <v>1060953.680961568</v>
      </c>
    </row>
    <row r="70" spans="1:6" x14ac:dyDescent="0.25">
      <c r="A70" t="s">
        <v>226</v>
      </c>
      <c r="C70" s="5">
        <f>(C56+C57)*(1-gp_pct)</f>
        <v>71551.2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</row>
    <row r="71" spans="1:6" x14ac:dyDescent="0.25">
      <c r="A71" t="s">
        <v>227</v>
      </c>
      <c r="C71" s="5">
        <f>(C56+C57)*gp_pct</f>
        <v>17887.799999999996</v>
      </c>
      <c r="D71" s="5">
        <f>(D56+D57)*gp_pct</f>
        <v>0</v>
      </c>
      <c r="E71" s="5">
        <f>(E56+E57)*gp_pct</f>
        <v>0</v>
      </c>
      <c r="F71" s="5">
        <f>(F56+F57)*gp_pct</f>
        <v>0</v>
      </c>
    </row>
    <row r="72" spans="1:6" x14ac:dyDescent="0.25">
      <c r="A72" s="3" t="s">
        <v>228</v>
      </c>
      <c r="C72" s="5">
        <f>SUM(C66:C71)</f>
        <v>234189.21706041624</v>
      </c>
      <c r="D72" s="5">
        <f>SUM(D66:D71)</f>
        <v>175895.54606285528</v>
      </c>
      <c r="E72" s="5">
        <f>SUM(E66:E71)</f>
        <v>196091.45694090397</v>
      </c>
      <c r="F72" s="5">
        <f>SUM(F66:F71)</f>
        <v>3598222.18034814</v>
      </c>
    </row>
    <row r="74" spans="1:6" x14ac:dyDescent="0.25">
      <c r="A74" t="s">
        <v>229</v>
      </c>
      <c r="C74" s="5">
        <f>C55+C56+C57+C64</f>
        <v>234189.21706041624</v>
      </c>
      <c r="D74" s="5">
        <f>D55+D56+D57+D64</f>
        <v>175895.54606285528</v>
      </c>
      <c r="E74" s="5">
        <f>E55+E56+E57+E64</f>
        <v>196091.45694090397</v>
      </c>
      <c r="F74" s="5">
        <f>F55+F56+F57+F64</f>
        <v>3598222.18034814</v>
      </c>
    </row>
    <row r="75" spans="1:6" x14ac:dyDescent="0.25">
      <c r="A75" t="s">
        <v>230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</row>
    <row r="77" spans="1:6" x14ac:dyDescent="0.25">
      <c r="A77" t="s">
        <v>231</v>
      </c>
      <c r="B77" s="5">
        <f>-B48</f>
        <v>-1320383.0163265306</v>
      </c>
      <c r="C77" s="5">
        <f>C66+C68+C70</f>
        <v>187351.373648333</v>
      </c>
      <c r="D77" s="5">
        <f>D66+D68+D70</f>
        <v>140716.43685028423</v>
      </c>
      <c r="E77" s="5">
        <f>E66+E68+E70</f>
        <v>156873.1655527232</v>
      </c>
      <c r="F77" s="5">
        <f>F66+F68+F70</f>
        <v>2496769.2739443914</v>
      </c>
    </row>
    <row r="78" spans="1:6" x14ac:dyDescent="0.25">
      <c r="A78" t="s">
        <v>232</v>
      </c>
      <c r="B78" s="5">
        <f>B77</f>
        <v>-1320383.0163265306</v>
      </c>
      <c r="C78" s="5">
        <f>B78+C77</f>
        <v>-1133031.6426781975</v>
      </c>
      <c r="D78" s="5">
        <f>C78+D77</f>
        <v>-992315.2058279132</v>
      </c>
      <c r="E78" s="5">
        <f>D78+E77</f>
        <v>-835442.04027519</v>
      </c>
      <c r="F78" s="5">
        <f>E78+F77</f>
        <v>1661327.2336692014</v>
      </c>
    </row>
    <row r="81" spans="1:1" x14ac:dyDescent="0.25">
      <c r="A81" s="3" t="s">
        <v>234</v>
      </c>
    </row>
    <row r="82" spans="2:6" x14ac:dyDescent="0.25">
      <c r="B82" s="3" t="s">
        <v>213</v>
      </c>
      <c r="C82" s="3" t="s">
        <v>152</v>
      </c>
      <c r="D82" s="3" t="s">
        <v>153</v>
      </c>
      <c r="E82" s="3" t="s">
        <v>154</v>
      </c>
      <c r="F82" s="3" t="s">
        <v>155</v>
      </c>
    </row>
    <row r="83" spans="1:2" x14ac:dyDescent="0.25">
      <c r="A83" t="s">
        <v>214</v>
      </c>
      <c r="B83" s="5">
        <f>-IF(Assumptions!$D$47&gt;0,tpc,cost_base)</f>
        <v>-3048877.5510204076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-42851.19387755102</v>
      </c>
    </row>
    <row r="85" spans="1:2" x14ac:dyDescent="0.25">
      <c r="A85" t="s">
        <v>17</v>
      </c>
      <c r="B85" s="5">
        <f>-vat_float</f>
        <v>-89439</v>
      </c>
    </row>
    <row r="86" spans="1:2" x14ac:dyDescent="0.25">
      <c r="A86" t="s">
        <v>215</v>
      </c>
      <c r="B86" s="5">
        <f>Assumptions!$D$47*tpc</f>
        <v>1829326.5306122447</v>
      </c>
    </row>
    <row r="87" spans="1:2" x14ac:dyDescent="0.25">
      <c r="A87" t="s">
        <v>216</v>
      </c>
      <c r="B87" s="5">
        <f>(-(B83+B86+B84)-B85)*(1-gp_pct)</f>
        <v>1081472.9714285715</v>
      </c>
    </row>
    <row r="88" spans="1:2" x14ac:dyDescent="0.25">
      <c r="A88" t="s">
        <v>217</v>
      </c>
      <c r="B88" s="5">
        <f>(-(B83+B86+B84)-B85)*gp_pct</f>
        <v>270368.2428571429</v>
      </c>
    </row>
    <row r="89" spans="1:2" x14ac:dyDescent="0.25">
      <c r="A89" s="3" t="s">
        <v>218</v>
      </c>
      <c r="B89" s="5">
        <f>SUM(B83:B88)</f>
        <v>0</v>
      </c>
    </row>
    <row r="91" spans="1:6" x14ac:dyDescent="0.25">
      <c r="A91" t="s">
        <v>183</v>
      </c>
      <c r="C91" s="5">
        <f>'P&amp;L'!C31</f>
        <v>268892.2736195121</v>
      </c>
      <c r="D91" s="5">
        <f>'P&amp;L'!D31</f>
        <v>300037.60262195114</v>
      </c>
      <c r="E91" s="5">
        <f>'P&amp;L'!E31</f>
        <v>320233.5134999998</v>
      </c>
      <c r="F91" s="5">
        <f>'P&amp;L'!F31</f>
        <v>326638.1837699999</v>
      </c>
    </row>
    <row r="92" spans="1:6" x14ac:dyDescent="0.25">
      <c r="A92" t="s">
        <v>188</v>
      </c>
      <c r="C92" s="5">
        <f>IF(B86=0,0,CUMIPMT(Assumptions!$D$48/12,Assumptions!$D$49*12,B86,1,12,0))</f>
        <v>-49053.353528217835</v>
      </c>
      <c r="D92" s="5">
        <f>IF(B86=0,0,CUMIPMT(Assumptions!$D$48/12,Assumptions!$D$49*12,B86,13,24,0))</f>
        <v>-46270.73423013968</v>
      </c>
      <c r="E92" s="5">
        <f>IF(B86=0,0,CUMIPMT(Assumptions!$D$48/12,Assumptions!$D$49*12,B86,25,36,0))</f>
        <v>-43410.62099912548</v>
      </c>
      <c r="F92" s="5">
        <f>IF(B86=0,0,CUMIPMT(Assumptions!$D$48/12,Assumptions!$D$49*12,B86,37,48,0))</f>
        <v>-40470.855685245726</v>
      </c>
    </row>
    <row r="93" spans="1:6" x14ac:dyDescent="0.25">
      <c r="A93" t="s">
        <v>189</v>
      </c>
      <c r="C93" s="5">
        <f>IF(B86=0,0,CUMPRINC(Assumptions!$D$48/12,Assumptions!$D$49*12,B86,1,12,0))</f>
        <v>-99917.11434269714</v>
      </c>
      <c r="D93" s="5">
        <f>IF(B86=0,0,CUMPRINC(Assumptions!$D$48/12,Assumptions!$D$49*12,B86,13,24,0))</f>
        <v>-102699.73364077533</v>
      </c>
      <c r="E93" s="5">
        <f>IF(B86=0,0,CUMPRINC(Assumptions!$D$48/12,Assumptions!$D$49*12,B86,25,36,0))</f>
        <v>-105559.8468717895</v>
      </c>
      <c r="F93" s="5">
        <f>IF(B86=0,0,CUMPRINC(Assumptions!$D$48/12,Assumptions!$D$49*12,B86,37,48,0))</f>
        <v>-108499.61218566925</v>
      </c>
    </row>
    <row r="94" spans="1:6" x14ac:dyDescent="0.25">
      <c r="A94" t="s">
        <v>219</v>
      </c>
      <c r="C94" s="5">
        <f>C91+C92+C93</f>
        <v>119921.80574859714</v>
      </c>
      <c r="D94" s="5">
        <f>D91+D92+D93</f>
        <v>151067.13475103612</v>
      </c>
      <c r="E94" s="5">
        <f>E91+E92+E93</f>
        <v>171263.04562908487</v>
      </c>
      <c r="F94" s="5">
        <f>F91+F92+F93</f>
        <v>177667.71589908493</v>
      </c>
    </row>
    <row r="95" spans="1:6" x14ac:dyDescent="0.25">
      <c r="A95" t="s">
        <v>220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</row>
    <row r="96" spans="1:6" x14ac:dyDescent="0.25">
      <c r="A96" t="s">
        <v>221</v>
      </c>
      <c r="C96" s="5">
        <f>IF(1=MIN(MAX(1,ROUNDUP(vat_months/12,0)),4),-B85,0)</f>
        <v>89439</v>
      </c>
      <c r="D96" s="5">
        <f>IF(2=MIN(MAX(1,ROUNDUP(vat_months/12,0)),4),-B85,0)</f>
        <v>0</v>
      </c>
      <c r="E96" s="5">
        <f>IF(3=MIN(MAX(1,ROUNDUP(vat_months/12,0)),4),-B85,0)</f>
        <v>0</v>
      </c>
      <c r="F96" s="5">
        <f>IF(4=MIN(MAX(1,ROUNDUP(vat_months/12,0)),4),-B85,0)</f>
        <v>0</v>
      </c>
    </row>
    <row r="97" spans="1:6" x14ac:dyDescent="0.25">
      <c r="A97" t="s">
        <v>222</v>
      </c>
      <c r="C97" s="5">
        <f>C94+C95+C96</f>
        <v>209360.80574859714</v>
      </c>
      <c r="D97" s="5">
        <f>C97+D94+D95+D96</f>
        <v>360427.94049963326</v>
      </c>
      <c r="E97" s="5">
        <f>D97+E94+E95+E96</f>
        <v>531690.9861287181</v>
      </c>
      <c r="F97" s="5">
        <f>E97+F94+F95+F96</f>
        <v>709358.702027803</v>
      </c>
    </row>
    <row r="98" spans="1:6" x14ac:dyDescent="0.25">
      <c r="A98" t="s">
        <v>223</v>
      </c>
      <c r="C98" s="7">
        <f>IF((C92+C93)=0,0,-C91/(C92+C93))</f>
        <v>1.8050038874316425</v>
      </c>
      <c r="D98" s="7">
        <f>IF((D92+D93)=0,0,-D91/(D92+D93))</f>
        <v>2.014074379372547</v>
      </c>
      <c r="E98" s="7">
        <f>IF((E92+E93)=0,0,-E91/(E92+E93))</f>
        <v>2.1496442756525855</v>
      </c>
      <c r="F98" s="7">
        <f>IF((F92+F93)=0,0,-F91/(F92+F93))</f>
        <v>2.192637161165638</v>
      </c>
    </row>
    <row r="100" spans="1:6" x14ac:dyDescent="0.25">
      <c r="A100" t="s">
        <v>26</v>
      </c>
      <c r="C100" s="5">
        <f>IF(1=4,'P&amp;L'!F31/cap,0)</f>
        <v>0</v>
      </c>
      <c r="D100" s="5">
        <f>IF(2=4,'P&amp;L'!F31/cap,0)</f>
        <v>0</v>
      </c>
      <c r="E100" s="5">
        <f>IF(3=4,'P&amp;L'!F31/cap,0)</f>
        <v>0</v>
      </c>
      <c r="F100" s="5">
        <f>IF(4=4,'P&amp;L'!F31/cap,0)</f>
        <v>4666259.768142855</v>
      </c>
    </row>
    <row r="101" spans="1:6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-93325.19536285754</v>
      </c>
    </row>
    <row r="102" spans="1:6" x14ac:dyDescent="0.25">
      <c r="A102" t="s">
        <v>28</v>
      </c>
      <c r="C102" s="5">
        <f>IF(1&lt;4,0,IF(B86=0,0,-(B86+CUMPRINC(Assumptions!$D$48/12,Assumptions!$D$49*12,B86,1,48,0))))</f>
        <v>0</v>
      </c>
      <c r="D102" s="5">
        <f>IF(2&lt;4,0,IF(B86=0,0,-(B86+CUMPRINC(Assumptions!$D$48/12,Assumptions!$D$49*12,B86,1,48,0))))</f>
        <v>0</v>
      </c>
      <c r="E102" s="5">
        <f>IF(3&lt;4,0,IF(B86=0,0,-(B86+CUMPRINC(Assumptions!$D$48/12,Assumptions!$D$49*12,B86,1,48,0))))</f>
        <v>0</v>
      </c>
      <c r="F102" s="5">
        <f>IF(4&lt;4,0,IF(B86=0,0,-(B86+CUMPRINC(Assumptions!$D$48/12,Assumptions!$D$49*12,B86,1,48,0))))</f>
        <v>-1412650.2235713128</v>
      </c>
    </row>
    <row r="103" spans="1:6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3160284.3492086846</v>
      </c>
    </row>
    <row r="105" spans="1:6" x14ac:dyDescent="0.25">
      <c r="A105" t="s">
        <v>198</v>
      </c>
      <c r="C105" s="5">
        <f>95937.4445988777</f>
        <v>95937.4445988777</v>
      </c>
      <c r="D105" s="5">
        <f>120853.7078008289</f>
        <v>120853.7078008289</v>
      </c>
      <c r="E105" s="5">
        <f>137010.43650326788</f>
        <v>137010.43650326788</v>
      </c>
      <c r="F105" s="5">
        <f>142134.17271926792</f>
        <v>142134.17271926792</v>
      </c>
    </row>
    <row r="106" spans="1:6" x14ac:dyDescent="0.25">
      <c r="A106" t="s">
        <v>199</v>
      </c>
      <c r="C106" s="5">
        <f>23984.361149719436</f>
        <v>23984.361149719436</v>
      </c>
      <c r="D106" s="5">
        <f>30213.426950207227</f>
        <v>30213.426950207227</v>
      </c>
      <c r="E106" s="5">
        <f>34252.60912581699</f>
        <v>34252.60912581699</v>
      </c>
      <c r="F106" s="5">
        <f>35533.543179817</f>
        <v>35533.543179817</v>
      </c>
    </row>
    <row r="107" spans="1:6" x14ac:dyDescent="0.25">
      <c r="A107" t="s">
        <v>224</v>
      </c>
      <c r="C107" s="5">
        <f>IF(1=4,2128129.181041589,0)</f>
        <v>0</v>
      </c>
      <c r="D107" s="5">
        <f>IF(2=4,2128129.181041589,0)</f>
        <v>0</v>
      </c>
      <c r="E107" s="5">
        <f>IF(3=4,2128129.181041589,0)</f>
        <v>0</v>
      </c>
      <c r="F107" s="5">
        <f>IF(4=4,2128129.181041589,0)</f>
        <v>2128129.181041589</v>
      </c>
    </row>
    <row r="108" spans="1:6" x14ac:dyDescent="0.25">
      <c r="A108" t="s">
        <v>225</v>
      </c>
      <c r="C108" s="5">
        <f>IF(1=4,1032155.1681670956,0)</f>
        <v>0</v>
      </c>
      <c r="D108" s="5">
        <f>IF(2=4,1032155.1681670956,0)</f>
        <v>0</v>
      </c>
      <c r="E108" s="5">
        <f>IF(3=4,1032155.1681670956,0)</f>
        <v>0</v>
      </c>
      <c r="F108" s="5">
        <f>IF(4=4,1032155.1681670956,0)</f>
        <v>1032155.1681670956</v>
      </c>
    </row>
    <row r="109" spans="1:6" x14ac:dyDescent="0.25">
      <c r="A109" t="s">
        <v>226</v>
      </c>
      <c r="C109" s="5">
        <f>(C95+C96)*(1-gp_pct)</f>
        <v>71551.2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</row>
    <row r="110" spans="1:6" x14ac:dyDescent="0.25">
      <c r="A110" t="s">
        <v>227</v>
      </c>
      <c r="C110" s="5">
        <f>(C95+C96)*gp_pct</f>
        <v>17887.799999999996</v>
      </c>
      <c r="D110" s="5">
        <f>(D95+D96)*gp_pct</f>
        <v>0</v>
      </c>
      <c r="E110" s="5">
        <f>(E95+E96)*gp_pct</f>
        <v>0</v>
      </c>
      <c r="F110" s="5">
        <f>(F95+F96)*gp_pct</f>
        <v>0</v>
      </c>
    </row>
    <row r="111" spans="1:6" x14ac:dyDescent="0.25">
      <c r="A111" s="3" t="s">
        <v>228</v>
      </c>
      <c r="C111" s="5">
        <f>SUM(C105:C110)</f>
        <v>209360.80574859714</v>
      </c>
      <c r="D111" s="5">
        <f>SUM(D105:D110)</f>
        <v>151067.13475103612</v>
      </c>
      <c r="E111" s="5">
        <f>SUM(E105:E110)</f>
        <v>171263.04562908487</v>
      </c>
      <c r="F111" s="5">
        <f>SUM(F105:F110)</f>
        <v>3337952.0651077693</v>
      </c>
    </row>
    <row r="113" spans="1:6" x14ac:dyDescent="0.25">
      <c r="A113" t="s">
        <v>229</v>
      </c>
      <c r="C113" s="5">
        <f>C94+C95+C96+C103</f>
        <v>209360.80574859714</v>
      </c>
      <c r="D113" s="5">
        <f>D94+D95+D96+D103</f>
        <v>151067.13475103612</v>
      </c>
      <c r="E113" s="5">
        <f>E94+E95+E96+E103</f>
        <v>171263.04562908487</v>
      </c>
      <c r="F113" s="5">
        <f>F94+F95+F96+F103</f>
        <v>3337952.0651077693</v>
      </c>
    </row>
    <row r="114" spans="1:6" x14ac:dyDescent="0.25">
      <c r="A114" t="s">
        <v>230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</row>
    <row r="116" spans="1:6" x14ac:dyDescent="0.25">
      <c r="A116" t="s">
        <v>231</v>
      </c>
      <c r="B116" s="5">
        <f>-B87</f>
        <v>-1081472.9714285715</v>
      </c>
      <c r="C116" s="5">
        <f>C105+C107+C109</f>
        <v>167488.6445988777</v>
      </c>
      <c r="D116" s="5">
        <f>D105+D107+D109</f>
        <v>120853.7078008289</v>
      </c>
      <c r="E116" s="5">
        <f>E105+E107+E109</f>
        <v>137010.43650326788</v>
      </c>
      <c r="F116" s="5">
        <f>F105+F107+F109</f>
        <v>2270263.353760857</v>
      </c>
    </row>
    <row r="117" spans="1:6" x14ac:dyDescent="0.25">
      <c r="A117" t="s">
        <v>232</v>
      </c>
      <c r="B117" s="5">
        <f>B116</f>
        <v>-1081472.9714285715</v>
      </c>
      <c r="C117" s="5">
        <f>B117+C116</f>
        <v>-913984.3268296937</v>
      </c>
      <c r="D117" s="5">
        <f>C117+D116</f>
        <v>-793130.6190288649</v>
      </c>
      <c r="E117" s="5">
        <f>D117+E116</f>
        <v>-656120.182525597</v>
      </c>
      <c r="F117" s="5">
        <f>E117+F116</f>
        <v>1614143.17123526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235</v>
      </c>
    </row>
    <row r="3" spans="1:7" x14ac:dyDescent="0.25">
      <c r="A3" s="3" t="s">
        <v>236</v>
      </c>
      <c r="B3" s="3" t="s">
        <v>13</v>
      </c>
      <c r="C3" s="3" t="s">
        <v>19</v>
      </c>
      <c r="D3" s="3" t="s">
        <v>31</v>
      </c>
      <c r="E3" s="3" t="s">
        <v>209</v>
      </c>
      <c r="F3" s="3" t="s">
        <v>223</v>
      </c>
      <c r="G3" s="3" t="s">
        <v>237</v>
      </c>
    </row>
    <row r="4" spans="1:7" x14ac:dyDescent="0.25">
      <c r="A4" t="s">
        <v>81</v>
      </c>
      <c r="B4" s="5">
        <v>0</v>
      </c>
      <c r="C4" s="5">
        <v>2414465</v>
      </c>
      <c r="D4" s="6">
        <v>0.1748342343883011</v>
      </c>
      <c r="E4" s="7">
        <v>1.7933226330191834</v>
      </c>
      <c r="F4" s="7"/>
      <c r="G4" t="s">
        <v>238</v>
      </c>
    </row>
    <row r="5" spans="1:7" x14ac:dyDescent="0.25">
      <c r="A5" t="s">
        <v>12</v>
      </c>
      <c r="B5" s="5">
        <v>1524439</v>
      </c>
      <c r="C5" s="5">
        <v>1248832</v>
      </c>
      <c r="D5" s="6">
        <v>0.2602045427259285</v>
      </c>
      <c r="E5" s="7">
        <v>2.330305019418897</v>
      </c>
      <c r="F5" s="7">
        <v>2.5795731307831025</v>
      </c>
      <c r="G5" t="s">
        <v>239</v>
      </c>
    </row>
    <row r="6" spans="1:7" x14ac:dyDescent="0.25">
      <c r="A6" t="s">
        <v>83</v>
      </c>
      <c r="B6" s="5">
        <v>1829327</v>
      </c>
      <c r="C6" s="5">
        <v>1009922</v>
      </c>
      <c r="D6" s="6">
        <v>0.2973402195582411</v>
      </c>
      <c r="E6" s="7">
        <v>2.598285349321656</v>
      </c>
      <c r="F6" s="7">
        <v>2.1496442756525855</v>
      </c>
      <c r="G6" t="s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2026-09-20T23:19:26Z</dcterms:created>
  <dcterms:modified xsi:type="dcterms:W3CDTF">2026-09-20T23:19:26Z</dcterms:modified>
</cp:coreProperties>
</file>