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Mix'!$B$19</definedName>
    <definedName name="blended_incl">'Unit Mix'!$B$20</definedName>
    <definedName name="clean_base">'Unit Mix'!$B$21</definedName>
    <definedName name="anc_units">'Unit Mix'!$B$22</definedName>
    <definedName name="mtr_n">'Unit Mix'!$B$23</definedName>
    <definedName name="cost_unit_n">'Unit Mix'!$B$24</definedName>
    <definedName name="mtr_rent_a">'Unit Mix'!$B$25</definedName>
    <definedName name="turn_base">'Unit Mix'!$B$26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<sst xmlns="http://schemas.openxmlformats.org/spreadsheetml/2006/main" count="353" uniqueCount="241">
  <si>
    <t>Gros 12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</si>
  <si>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</si>
  <si>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</si>
  <si>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</si>
  <si>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</si>
  <si>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</si>
  <si>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</si>
  <si>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</si>
  <si>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</si>
  <si>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</si>
  <si>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</si>
  <si>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</si>
  <si>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50%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</si>
  <si>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</si>
  <si>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</si>
  <si>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</si>
  <si>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</si>
  <si>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</si>
  <si>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</si>
  <si>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</si>
  <si>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</si>
  <si>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</si>
  <si>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</si>
  <si>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</si>
  <si>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</si>
  <si>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</si>
  <si>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</si>
  <si>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</si>
  <si>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</si>
  <si>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</si>
  <si>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</si>
  <si>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</si>
  <si>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</si>
  <si>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</si>
  <si>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</si>
  <si>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</si>
  <si>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</si>
  <si>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</si>
  <si>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</si>
  <si>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</si>
  <si>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</si>
  <si>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</si>
  <si>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</si>
  <si>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</si>
  <si>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</si>
  <si>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</si>
  <si>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</si>
  <si>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</si>
  <si>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</si>
  <si>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</si>
  <si>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</si>
  <si>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</si>
  <si>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</si>
  <si>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</si>
  <si>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</si>
  <si>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</si>
  <si>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</si>
  <si>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</si>
  <si>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</si>
  <si>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</si>
  <si>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</si>
  <si>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</si>
  <si>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</si>
  <si>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</si>
  <si>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</si>
  <si>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</si>
  <si>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</si>
  <si>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</si>
  <si>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</si>
  <si>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</si>
  <si>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</si>
  <si>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</si>
  <si>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</si>
  <si>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</si>
  <si>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</si>
  <si>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</si>
  <si>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</si>
  <si>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</si>
  <si>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</si>
  <si>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</si>
  <si>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</si>
  <si>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</si>
  <si>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50% LTV  ←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</si>
  <si>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</si>
  <si>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</si>
  <si>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</si>
  <si>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</si>
  <si>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</si>
  <si>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</si>
  <si>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</si>
  <si>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</si>
  <si>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</si>
  <si>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</si>
  <si>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</si>
  <si>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</si>
  <si>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</si>
  <si>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</si>
  <si>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</si>
  <si>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</si>
  <si>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</si>
  <si>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</si>
  <si>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</si>
  <si>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</si>
  <si>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</si>
  <si>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</si>
  <si>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Studio · serviced</t>
  </si>
  <si>
    <t>STR</t>
  </si>
  <si>
    <t>1-bed · serviced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</si>
  <si>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</si>
  <si>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</si>
  <si>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</si>
  <si>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</si>
  <si>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</si>
  <si>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</si>
  <si>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</si>
  <si>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</si>
  <si>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</si>
  <si>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</si>
  <si>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</si>
  <si>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</si>
  <si>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</si>
  <si>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</si>
  <si>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</si>
  <si>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</si>
  <si>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</si>
  <si>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</si>
  <si>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</si>
  <si>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</si>
  <si>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</si>
  <si>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</si>
  <si>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</si>
  <si>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</si>
  <si>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</si>
  <si>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</si>
  <si>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</si>
  <si>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</si>
  <si>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</si>
  <si>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</si>
  <si>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</si>
  <si>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</si>
  <si>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</si>
  <si>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</si>
  <si>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</si>
  <si>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</si>
  <si>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</si>
  <si>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</si>
  <si>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</si>
  <si>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</si>
  <si>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</si>
  <si>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</si>
  <si>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</si>
  <si>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</si>
  <si>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</si>
  <si>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</si>
  <si>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</si>
  <si>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Y5</t>
  </si>
  <si>
    <t>Y6</t>
  </si>
  <si>
    <t>Y7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</si>
  <si>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</si>
  <si>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</si>
  <si>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</si>
  <si>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</si>
  <si>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</si>
  <si>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</si>
  <si>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</si>
  <si>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</si>
  <si>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</si>
  <si>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</si>
  <si>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</si>
  <si>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</si>
  <si>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</si>
  <si>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</si>
  <si>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</si>
  <si>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</si>
  <si>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</si>
  <si>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</si>
  <si>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</si>
  <si>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</si>
  <si>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</si>
  <si>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</si>
  <si>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</si>
  <si>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</si>
  <si>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</si>
  <si>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</si>
  <si>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</si>
  <si>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</si>
  <si>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</si>
  <si>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</si>
  <si>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</si>
  <si>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</si>
  <si>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</si>
  <si>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</si>
  <si>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</si>
  <si>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</si>
  <si>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</si>
  <si>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</si>
  <si>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</si>
  <si>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</si>
  <si>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</si>
  <si>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</si>
  <si>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</si>
  <si>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</si>
  <si>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</si>
  <si>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</si>
  <si>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</si>
  <si>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</si>
  <si>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</si>
  <si>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</si>
  <si>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</si>
  <si>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</si>
  <si>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</si>
  <si>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</si>
  <si>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</si>
  <si>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</si>
  <si>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</si>
  <si>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</si>
  <si>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</si>
  <si>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</si>
  <si>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</si>
  <si>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</si>
  <si>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</si>
  <si>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</si>
  <si>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</si>
  <si>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</si>
  <si>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</si>
  <si>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</si>
  <si>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</si>
  <si>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</si>
  <si>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</si>
  <si>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</si>
  <si>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</si>
  <si>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</si>
  <si>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</si>
  <si>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</si>
  <si>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</si>
  <si>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50% LTV  ← reported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</si>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</sst>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16</v>
      </c>
    </row>
    <row r="7" spans="1:2" x14ac:dyDescent="0.25">
      <c r="A7" t="s">
        <v>5</v>
      </c>
      <c r="B7" s="5">
        <f>price</f>
        <v>5600000</v>
      </c>
    </row>
    <row r="8" spans="1:2" x14ac:dyDescent="0.25">
      <c r="A8" t="s">
        <v>6</v>
      </c>
      <c r="B8" s="5">
        <f>tpc</f>
        <v>6656224.489795919</v>
      </c>
    </row>
    <row r="9" spans="1:2" x14ac:dyDescent="0.25">
      <c r="A9" t="s">
        <v>7</v>
      </c>
      <c r="B9" s="5">
        <f>IF(units_c=0,0,tpc/units_c)</f>
        <v>416014.0306122449</v>
      </c>
    </row>
    <row r="10" spans="1:2" x14ac:dyDescent="0.25">
      <c r="A10" t="s">
        <v>8</v>
      </c>
      <c r="B10" s="5">
        <f>'P&amp;L'!E31</f>
        <v>507235.10694399977</v>
      </c>
    </row>
    <row r="11" spans="1:2" x14ac:dyDescent="0.25">
      <c r="A11" t="s">
        <v>9</v>
      </c>
      <c r="B11" s="6">
        <f>IF(tpc=0,0,B10/tpc)</f>
        <v>0.07620462737120691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3328112.2448979593</v>
      </c>
    </row>
    <row r="16" spans="1:2" x14ac:dyDescent="0.25">
      <c r="A16" t="s">
        <v>14</v>
      </c>
      <c r="B16" s="6">
        <f>IF(tpc=0,0,B15/tpc)</f>
        <v>0.5</v>
      </c>
    </row>
    <row r="17" spans="1:2" x14ac:dyDescent="0.25">
      <c r="A17" t="s">
        <v>15</v>
      </c>
      <c r="B17" s="5">
        <f>Waterfall!B4</f>
        <v>73026.30102040817</v>
      </c>
    </row>
    <row r="18" spans="1:2" x14ac:dyDescent="0.25">
      <c r="A18" t="s">
        <v>16</v>
      </c>
      <c r="B18" s="5">
        <f>eq_total</f>
        <v>3401138.5459183673</v>
      </c>
    </row>
    <row r="19" spans="1:2" x14ac:dyDescent="0.25">
      <c r="A19" t="s">
        <v>17</v>
      </c>
      <c r="B19" s="5">
        <f>vat_float</f>
        <v>114471</v>
      </c>
    </row>
    <row r="20" spans="1:2" x14ac:dyDescent="0.25">
      <c r="A20" t="s">
        <v>18</v>
      </c>
      <c r="B20" s="5">
        <f>eq_total+vat_float</f>
        <v>3515609.5459183673</v>
      </c>
    </row>
    <row r="21" spans="1:2" x14ac:dyDescent="0.25">
      <c r="A21" t="s">
        <v>19</v>
      </c>
      <c r="B21" s="5">
        <f>eq_lp</f>
        <v>2720910.836734694</v>
      </c>
    </row>
    <row r="22" spans="1:2" x14ac:dyDescent="0.25">
      <c r="A22" t="s">
        <v>20</v>
      </c>
      <c r="B22" s="5">
        <f>eq_gp</f>
        <v>680227.7091836735</v>
      </c>
    </row>
    <row r="23" spans="1:2" x14ac:dyDescent="0.25">
      <c r="A23" t="s">
        <v>21</v>
      </c>
      <c r="B23" s="5">
        <f>Waterfall!B8</f>
        <v>271023.4777404324</v>
      </c>
    </row>
    <row r="24" spans="1:2" x14ac:dyDescent="0.25">
      <c r="A24" t="s">
        <v>22</v>
      </c>
      <c r="B24" s="7">
        <f>IF(Waterfall!B8=0,0,B10/Waterfall!B8)</f>
        <v>1.8715541220742304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7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7808276.268571902</v>
      </c>
    </row>
    <row r="30" spans="1:2" x14ac:dyDescent="0.25">
      <c r="A30" t="s">
        <v>27</v>
      </c>
      <c r="B30" s="5">
        <f>Waterfall!B27</f>
        <v>-156165.52537143804</v>
      </c>
    </row>
    <row r="31" spans="1:2" x14ac:dyDescent="0.25">
      <c r="A31" t="s">
        <v>28</v>
      </c>
      <c r="B31" s="5">
        <f>Waterfall!B28</f>
        <v>1944265.1058010396</v>
      </c>
    </row>
    <row r="32" spans="1:2" x14ac:dyDescent="0.25">
      <c r="A32" t="s">
        <v>29</v>
      </c>
      <c r="B32" s="5">
        <f>Waterfall!B29</f>
        <v>5707845.637399425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0.12497709252566416</v>
      </c>
    </row>
    <row r="36" spans="1:2" x14ac:dyDescent="0.25">
      <c r="A36" t="s">
        <v>32</v>
      </c>
      <c r="B36" s="7">
        <f>Waterfall!B38</f>
        <v>2.0810995677214263</v>
      </c>
    </row>
    <row r="37" spans="1:2" x14ac:dyDescent="0.25">
      <c r="A37" t="s">
        <v>33</v>
      </c>
      <c r="B37" s="5">
        <f>Waterfall!B37</f>
        <v>5662486.366137116</v>
      </c>
    </row>
    <row r="38" spans="1:2" x14ac:dyDescent="0.25">
      <c r="A38" t="s">
        <v>34</v>
      </c>
      <c r="B38" s="6">
        <f>IF(eq_lp=0,0,AVERAGE(Waterfall!C22:I22)/eq_lp)</f>
        <v>0.06911261702265216</v>
      </c>
    </row>
    <row r="39" spans="1:2" x14ac:dyDescent="0.25">
      <c r="A39" t="s">
        <v>35</v>
      </c>
      <c r="B39" s="6">
        <f>IRR('Cash Flow'!B77:'Cash Flow'!I77)</f>
        <v>0.12428753883094862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SUM(Waterfall!C23:I23)+Waterfall!B32</f>
        <v>1690790.3716175614</v>
      </c>
    </row>
    <row r="43" spans="1:2" x14ac:dyDescent="0.25">
      <c r="A43" t="s">
        <v>38</v>
      </c>
      <c r="B43" s="7">
        <f>IF(eq_gp=0,0,B42/eq_gp)</f>
        <v>2.485624076747244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FormatPr defaultRowHeight="15" outlineLevelRow="0" outlineLevelCol="0" x14ac:dyDescent="55"/>
  <cols>
    <col min="1" max="1" width="34" customWidth="1"/>
    <col min="2" max="3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0.82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1.5</v>
      </c>
    </row>
    <row r="21" spans="1:2" x14ac:dyDescent="0.25">
      <c r="A21" t="s">
        <v>57</v>
      </c>
      <c r="B21" s="11">
        <v>15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9600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3" x14ac:dyDescent="0.25">
      <c r="B46" s="3" t="s">
        <v>81</v>
      </c>
      <c r="C46" s="3" t="s">
        <v>82</v>
      </c>
    </row>
    <row r="47" spans="1:3" x14ac:dyDescent="0.25">
      <c r="A47" t="s">
        <v>83</v>
      </c>
      <c r="B47" s="8">
        <v>0</v>
      </c>
      <c r="C47" s="8">
        <v>0.5</v>
      </c>
    </row>
    <row r="48" spans="1:3" x14ac:dyDescent="0.25">
      <c r="A48" t="s">
        <v>84</v>
      </c>
      <c r="B48" s="8">
        <v>0.0275</v>
      </c>
      <c r="C48" s="8">
        <v>0.0275</v>
      </c>
    </row>
    <row r="49" spans="1:3" x14ac:dyDescent="0.25">
      <c r="A49" t="s">
        <v>85</v>
      </c>
      <c r="B49" s="9">
        <v>15</v>
      </c>
      <c r="C49" s="9">
        <v>15</v>
      </c>
    </row>
    <row r="50" spans="1:3" x14ac:dyDescent="0.25">
      <c r="A50" t="s">
        <v>86</v>
      </c>
      <c r="B50" s="9">
        <v>0</v>
      </c>
      <c r="C50" s="9">
        <v>0</v>
      </c>
    </row>
    <row r="51" spans="1:3" x14ac:dyDescent="0.25">
      <c r="A51" t="s">
        <v>87</v>
      </c>
      <c r="B51" s="8">
        <v>0.01</v>
      </c>
      <c r="C51" s="8">
        <v>0.01</v>
      </c>
    </row>
    <row r="52" spans="1:3" x14ac:dyDescent="0.25">
      <c r="A52" t="s">
        <v>88</v>
      </c>
      <c r="B52" s="8">
        <v>0.0075</v>
      </c>
      <c r="C52" s="8">
        <v>0.0075</v>
      </c>
    </row>
    <row r="53" spans="1:3" x14ac:dyDescent="0.25">
      <c r="A53" t="s">
        <v>89</v>
      </c>
      <c r="B53" s="11">
        <v>275</v>
      </c>
      <c r="C53" s="11">
        <v>275</v>
      </c>
    </row>
    <row r="54" spans="1:3" x14ac:dyDescent="0.25">
      <c r="A54" t="s">
        <v>90</v>
      </c>
      <c r="B54" s="8">
        <v>0.002</v>
      </c>
      <c r="C54" s="8">
        <v>0.002</v>
      </c>
    </row>
    <row r="55" spans="1:3" x14ac:dyDescent="0.25">
      <c r="A55" t="s">
        <v>91</v>
      </c>
      <c r="B55" s="8">
        <v>0.001</v>
      </c>
      <c r="C55" s="8">
        <v>0.001</v>
      </c>
    </row>
    <row r="56" spans="1:3" x14ac:dyDescent="0.25">
      <c r="A56" t="s">
        <v>92</v>
      </c>
      <c r="B56" s="11">
        <v>400</v>
      </c>
      <c r="C56" s="11">
        <v>400</v>
      </c>
    </row>
    <row r="65" spans="1:1" x14ac:dyDescent="0.25">
      <c r="A65" s="3" t="s">
        <v>93</v>
      </c>
    </row>
    <row r="66" spans="1:2" x14ac:dyDescent="0.25">
      <c r="A66" t="s">
        <v>94</v>
      </c>
      <c r="B66" s="8">
        <v>0.21</v>
      </c>
    </row>
    <row r="67" spans="1:2" x14ac:dyDescent="0.25">
      <c r="A67" t="s">
        <v>95</v>
      </c>
      <c r="B67" s="8">
        <v>0.21</v>
      </c>
    </row>
    <row r="68" spans="1:2" x14ac:dyDescent="0.25">
      <c r="A68" t="s">
        <v>96</v>
      </c>
      <c r="B68" s="8">
        <v>0.21</v>
      </c>
    </row>
    <row r="69" spans="1:2" x14ac:dyDescent="0.25">
      <c r="A69" t="s">
        <v>97</v>
      </c>
      <c r="B69" s="8">
        <v>0.21</v>
      </c>
    </row>
    <row r="70" spans="1:2" x14ac:dyDescent="0.25">
      <c r="A70" t="s">
        <v>98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99</v>
      </c>
      <c r="B1" s="3" t="s">
        <v>100</v>
      </c>
      <c r="C1" s="3" t="s">
        <v>101</v>
      </c>
      <c r="D1" s="3" t="s">
        <v>102</v>
      </c>
      <c r="E1" s="3" t="s">
        <v>103</v>
      </c>
      <c r="F1" s="3" t="s">
        <v>104</v>
      </c>
    </row>
    <row r="2" spans="1:6" x14ac:dyDescent="0.25">
      <c r="A2" t="s">
        <v>105</v>
      </c>
      <c r="B2" t="s">
        <v>106</v>
      </c>
      <c r="C2" s="11">
        <v>185</v>
      </c>
      <c r="D2" s="8">
        <v>0.68</v>
      </c>
      <c r="E2" s="11">
        <v>30</v>
      </c>
      <c r="F2" s="11">
        <v>0</v>
      </c>
    </row>
    <row r="3" spans="1:6" x14ac:dyDescent="0.25">
      <c r="A3" t="s">
        <v>105</v>
      </c>
      <c r="B3" t="s">
        <v>106</v>
      </c>
      <c r="C3" s="11">
        <v>185</v>
      </c>
      <c r="D3" s="8">
        <v>0.68</v>
      </c>
      <c r="E3" s="11">
        <v>30</v>
      </c>
      <c r="F3" s="11">
        <v>0</v>
      </c>
    </row>
    <row r="4" spans="1:6" x14ac:dyDescent="0.25">
      <c r="A4" t="s">
        <v>105</v>
      </c>
      <c r="B4" t="s">
        <v>106</v>
      </c>
      <c r="C4" s="11">
        <v>185</v>
      </c>
      <c r="D4" s="8">
        <v>0.68</v>
      </c>
      <c r="E4" s="11">
        <v>30</v>
      </c>
      <c r="F4" s="11">
        <v>0</v>
      </c>
    </row>
    <row r="5" spans="1:6" x14ac:dyDescent="0.25">
      <c r="A5" t="s">
        <v>105</v>
      </c>
      <c r="B5" t="s">
        <v>106</v>
      </c>
      <c r="C5" s="11">
        <v>185</v>
      </c>
      <c r="D5" s="8">
        <v>0.68</v>
      </c>
      <c r="E5" s="11">
        <v>30</v>
      </c>
      <c r="F5" s="11">
        <v>0</v>
      </c>
    </row>
    <row r="6" spans="1:6" x14ac:dyDescent="0.25">
      <c r="A6" t="s">
        <v>105</v>
      </c>
      <c r="B6" t="s">
        <v>106</v>
      </c>
      <c r="C6" s="11">
        <v>185</v>
      </c>
      <c r="D6" s="8">
        <v>0.68</v>
      </c>
      <c r="E6" s="11">
        <v>30</v>
      </c>
      <c r="F6" s="11">
        <v>0</v>
      </c>
    </row>
    <row r="7" spans="1:6" x14ac:dyDescent="0.25">
      <c r="A7" t="s">
        <v>105</v>
      </c>
      <c r="B7" t="s">
        <v>106</v>
      </c>
      <c r="C7" s="11">
        <v>185</v>
      </c>
      <c r="D7" s="8">
        <v>0.68</v>
      </c>
      <c r="E7" s="11">
        <v>30</v>
      </c>
      <c r="F7" s="11">
        <v>0</v>
      </c>
    </row>
    <row r="8" spans="1:6" x14ac:dyDescent="0.25">
      <c r="A8" t="s">
        <v>105</v>
      </c>
      <c r="B8" t="s">
        <v>106</v>
      </c>
      <c r="C8" s="11">
        <v>185</v>
      </c>
      <c r="D8" s="8">
        <v>0.68</v>
      </c>
      <c r="E8" s="11">
        <v>30</v>
      </c>
      <c r="F8" s="11">
        <v>0</v>
      </c>
    </row>
    <row r="9" spans="1:6" x14ac:dyDescent="0.25">
      <c r="A9" t="s">
        <v>105</v>
      </c>
      <c r="B9" t="s">
        <v>106</v>
      </c>
      <c r="C9" s="11">
        <v>185</v>
      </c>
      <c r="D9" s="8">
        <v>0.68</v>
      </c>
      <c r="E9" s="11">
        <v>30</v>
      </c>
      <c r="F9" s="11">
        <v>0</v>
      </c>
    </row>
    <row r="10" spans="1:6" x14ac:dyDescent="0.25">
      <c r="A10" t="s">
        <v>107</v>
      </c>
      <c r="B10" t="s">
        <v>106</v>
      </c>
      <c r="C10" s="11">
        <v>235</v>
      </c>
      <c r="D10" s="8">
        <v>0.68</v>
      </c>
      <c r="E10" s="11">
        <v>35</v>
      </c>
      <c r="F10" s="11">
        <v>0</v>
      </c>
    </row>
    <row r="11" spans="1:6" x14ac:dyDescent="0.25">
      <c r="A11" t="s">
        <v>107</v>
      </c>
      <c r="B11" t="s">
        <v>106</v>
      </c>
      <c r="C11" s="11">
        <v>235</v>
      </c>
      <c r="D11" s="8">
        <v>0.68</v>
      </c>
      <c r="E11" s="11">
        <v>35</v>
      </c>
      <c r="F11" s="11">
        <v>0</v>
      </c>
    </row>
    <row r="12" spans="1:6" x14ac:dyDescent="0.25">
      <c r="A12" t="s">
        <v>107</v>
      </c>
      <c r="B12" t="s">
        <v>106</v>
      </c>
      <c r="C12" s="11">
        <v>235</v>
      </c>
      <c r="D12" s="8">
        <v>0.68</v>
      </c>
      <c r="E12" s="11">
        <v>35</v>
      </c>
      <c r="F12" s="11">
        <v>0</v>
      </c>
    </row>
    <row r="13" spans="1:6" x14ac:dyDescent="0.25">
      <c r="A13" t="s">
        <v>107</v>
      </c>
      <c r="B13" t="s">
        <v>106</v>
      </c>
      <c r="C13" s="11">
        <v>235</v>
      </c>
      <c r="D13" s="8">
        <v>0.68</v>
      </c>
      <c r="E13" s="11">
        <v>35</v>
      </c>
      <c r="F13" s="11">
        <v>0</v>
      </c>
    </row>
    <row r="14" spans="1:6" x14ac:dyDescent="0.25">
      <c r="A14" t="s">
        <v>107</v>
      </c>
      <c r="B14" t="s">
        <v>106</v>
      </c>
      <c r="C14" s="11">
        <v>235</v>
      </c>
      <c r="D14" s="8">
        <v>0.68</v>
      </c>
      <c r="E14" s="11">
        <v>35</v>
      </c>
      <c r="F14" s="11">
        <v>0</v>
      </c>
    </row>
    <row r="15" spans="1:6" x14ac:dyDescent="0.25">
      <c r="A15" t="s">
        <v>107</v>
      </c>
      <c r="B15" t="s">
        <v>106</v>
      </c>
      <c r="C15" s="11">
        <v>235</v>
      </c>
      <c r="D15" s="8">
        <v>0.68</v>
      </c>
      <c r="E15" s="11">
        <v>35</v>
      </c>
      <c r="F15" s="11">
        <v>0</v>
      </c>
    </row>
    <row r="16" spans="1:6" x14ac:dyDescent="0.25">
      <c r="A16" t="s">
        <v>107</v>
      </c>
      <c r="B16" t="s">
        <v>106</v>
      </c>
      <c r="C16" s="11">
        <v>235</v>
      </c>
      <c r="D16" s="8">
        <v>0.68</v>
      </c>
      <c r="E16" s="11">
        <v>35</v>
      </c>
      <c r="F16" s="11">
        <v>0</v>
      </c>
    </row>
    <row r="17" spans="1:6" x14ac:dyDescent="0.25">
      <c r="A17" t="s">
        <v>107</v>
      </c>
      <c r="B17" t="s">
        <v>106</v>
      </c>
      <c r="C17" s="11">
        <v>235</v>
      </c>
      <c r="D17" s="8">
        <v>0.68</v>
      </c>
      <c r="E17" s="11">
        <v>35</v>
      </c>
      <c r="F17" s="11">
        <v>0</v>
      </c>
    </row>
    <row r="19" spans="1:2" x14ac:dyDescent="0.25">
      <c r="A19" t="s">
        <v>108</v>
      </c>
      <c r="B19" s="4">
        <f>COUNTIF(B2:B17,"STR")</f>
        <v>16</v>
      </c>
    </row>
    <row r="20" spans="1:2" x14ac:dyDescent="0.25">
      <c r="A20" t="s">
        <v>109</v>
      </c>
      <c r="B20" s="5">
        <f>SUMPRODUCT(C2:C17,D2:D17,--(B2:B17="STR"))/SUMPRODUCT(D2:D17,--(B2:B17="STR"))</f>
        <v>210.00000000000003</v>
      </c>
    </row>
    <row r="21" spans="1:2" x14ac:dyDescent="0.25">
      <c r="A21" t="s">
        <v>110</v>
      </c>
      <c r="B21" s="5">
        <f>SUMPRODUCT(365*D2:D17/alos,E2:E17/(1+iva),--(B2:B17="STR"))</f>
        <v>46932.363636363625</v>
      </c>
    </row>
    <row r="22" spans="1:2" x14ac:dyDescent="0.25">
      <c r="A22" t="s">
        <v>111</v>
      </c>
      <c r="B22" s="5">
        <f>SUMPRODUCT(F2:F17,--(B2:B17&lt;&gt;"STR"),--(B2:B17&lt;&gt;"MTR"))*12</f>
        <v>0</v>
      </c>
    </row>
    <row r="23" spans="1:2" x14ac:dyDescent="0.25">
      <c r="A23" t="s">
        <v>112</v>
      </c>
      <c r="B23" s="4">
        <f>COUNTIF(B2:B17,"MTR")</f>
        <v>0</v>
      </c>
    </row>
    <row r="24" spans="1:2" x14ac:dyDescent="0.25">
      <c r="A24" t="s">
        <v>113</v>
      </c>
      <c r="B24" s="4">
        <f>unit_n+mtr_n</f>
        <v>16</v>
      </c>
    </row>
    <row r="25" spans="1:2" x14ac:dyDescent="0.25">
      <c r="A25" t="s">
        <v>114</v>
      </c>
      <c r="B25" s="5">
        <f>SUMPRODUCT(F2:F17,--(B2:B17="MTR"))*12</f>
        <v>0</v>
      </c>
    </row>
    <row r="26" spans="1:2" x14ac:dyDescent="0.25">
      <c r="A26" t="s">
        <v>115</v>
      </c>
      <c r="B26" s="12">
        <f>SUMPRODUCT(D2:D17,--(B2:B17="STR"))*365/alos</f>
        <v>1588.4799999999998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116</v>
      </c>
    </row>
    <row r="2" spans="1:2" x14ac:dyDescent="0.25">
      <c r="A2" t="s">
        <v>5</v>
      </c>
      <c r="B2" s="11">
        <v>5600000</v>
      </c>
    </row>
    <row r="3" spans="1:2" x14ac:dyDescent="0.25">
      <c r="A3" t="s">
        <v>117</v>
      </c>
      <c r="B3" s="9">
        <v>16</v>
      </c>
    </row>
    <row r="4" spans="1:2" x14ac:dyDescent="0.25">
      <c r="A4" t="s">
        <v>118</v>
      </c>
      <c r="B4" s="8">
        <v>0.0075</v>
      </c>
    </row>
    <row r="5" spans="1:2" x14ac:dyDescent="0.25">
      <c r="A5" t="s">
        <v>119</v>
      </c>
      <c r="B5" s="8">
        <v>0.06</v>
      </c>
    </row>
    <row r="6" spans="1:2" x14ac:dyDescent="0.25">
      <c r="A6" t="s">
        <v>120</v>
      </c>
      <c r="B6" s="8">
        <v>0.03</v>
      </c>
    </row>
    <row r="7" spans="1:2" x14ac:dyDescent="0.25">
      <c r="A7" t="s">
        <v>121</v>
      </c>
      <c r="B7" s="8">
        <v>0.005</v>
      </c>
    </row>
    <row r="8" spans="1:2" x14ac:dyDescent="0.25">
      <c r="A8" t="s">
        <v>122</v>
      </c>
      <c r="B8" s="11">
        <v>1800</v>
      </c>
    </row>
    <row r="9" spans="1:2" x14ac:dyDescent="0.25">
      <c r="A9" t="s">
        <v>123</v>
      </c>
      <c r="B9" s="11">
        <v>900</v>
      </c>
    </row>
    <row r="10" spans="1:2" x14ac:dyDescent="0.25">
      <c r="A10" t="s">
        <v>124</v>
      </c>
      <c r="B10" s="11">
        <v>3500</v>
      </c>
    </row>
    <row r="11" spans="1:2" x14ac:dyDescent="0.25">
      <c r="A11" t="s">
        <v>125</v>
      </c>
      <c r="B11" s="11">
        <v>2500</v>
      </c>
    </row>
    <row r="12" spans="1:2" x14ac:dyDescent="0.25">
      <c r="A12" t="s">
        <v>126</v>
      </c>
      <c r="B12" s="11">
        <v>0</v>
      </c>
    </row>
    <row r="13" spans="1:2" x14ac:dyDescent="0.25">
      <c r="A13" t="s">
        <v>127</v>
      </c>
      <c r="B13" s="11">
        <v>2000</v>
      </c>
    </row>
    <row r="14" spans="1:2" x14ac:dyDescent="0.25">
      <c r="A14" t="s">
        <v>128</v>
      </c>
      <c r="B14" s="11">
        <v>60000</v>
      </c>
    </row>
    <row r="15" spans="1:2" x14ac:dyDescent="0.25">
      <c r="A15" t="s">
        <v>129</v>
      </c>
      <c r="B15" s="11">
        <v>0</v>
      </c>
    </row>
    <row r="16" spans="1:2" x14ac:dyDescent="0.25">
      <c r="A16" t="s">
        <v>130</v>
      </c>
      <c r="B16" s="8">
        <v>0</v>
      </c>
    </row>
    <row r="17" spans="1:2" x14ac:dyDescent="0.25">
      <c r="A17" t="s">
        <v>131</v>
      </c>
      <c r="B17" s="11">
        <v>9500</v>
      </c>
    </row>
    <row r="18" spans="1:2" x14ac:dyDescent="0.25">
      <c r="A18" t="s">
        <v>132</v>
      </c>
      <c r="B18" s="11">
        <v>1400</v>
      </c>
    </row>
    <row r="19" spans="1:2" x14ac:dyDescent="0.25">
      <c r="A19" t="s">
        <v>133</v>
      </c>
      <c r="B19" s="11">
        <v>38000</v>
      </c>
    </row>
    <row r="20" spans="1:2" x14ac:dyDescent="0.25">
      <c r="A20" t="s">
        <v>134</v>
      </c>
      <c r="B20" s="11">
        <v>36000</v>
      </c>
    </row>
    <row r="21" spans="1:2" x14ac:dyDescent="0.25">
      <c r="A21" t="s">
        <v>135</v>
      </c>
      <c r="B21" s="8">
        <v>0.02</v>
      </c>
    </row>
    <row r="23" spans="1:2" x14ac:dyDescent="0.25">
      <c r="A23" t="s">
        <v>136</v>
      </c>
      <c r="B23" s="5">
        <f>ajd_pct*price+itp_pct*price+broker_pct*price+dd_pct*price+notary_f+registry_f+spv_f+taxadv_f</f>
        <v>582700</v>
      </c>
    </row>
    <row r="24" spans="1:2" x14ac:dyDescent="0.25">
      <c r="A24" t="s">
        <v>137</v>
      </c>
      <c r="B24" s="5">
        <f>(reno_u*(units_c-1)+appl_u*units_c+common_f+deep_f)*(1+conting_pct)</f>
        <v>92000</v>
      </c>
    </row>
    <row r="25" spans="1:2" x14ac:dyDescent="0.25">
      <c r="A25" t="s">
        <v>138</v>
      </c>
      <c r="B25" s="5">
        <f>(ffe_u+itl_u)*units_c</f>
        <v>174400</v>
      </c>
    </row>
    <row r="26" spans="1:2" x14ac:dyDescent="0.25">
      <c r="A26" t="s">
        <v>139</v>
      </c>
      <c r="B26" s="5">
        <f>permits_f+arch_f</f>
        <v>74000</v>
      </c>
    </row>
    <row r="27" spans="1:2" x14ac:dyDescent="0.25">
      <c r="A27" t="s">
        <v>140</v>
      </c>
      <c r="B27" s="5">
        <f>price+B23+B24+B25+B26</f>
        <v>6523100</v>
      </c>
    </row>
    <row r="28" spans="1:2" x14ac:dyDescent="0.25">
      <c r="A28" t="s">
        <v>141</v>
      </c>
      <c r="B28" s="5">
        <f>gp_fee_pct*cost_base/(1-gp_fee_pct)</f>
        <v>133124.48979591837</v>
      </c>
    </row>
    <row r="29" spans="1:2" x14ac:dyDescent="0.25">
      <c r="A29" s="3" t="s">
        <v>142</v>
      </c>
      <c r="B29" s="5">
        <f>cost_base+B28</f>
        <v>6656224.489795919</v>
      </c>
    </row>
    <row r="30" spans="1:1" x14ac:dyDescent="0.25">
      <c r="A30" s="3" t="s">
        <v>143</v>
      </c>
    </row>
    <row r="31" spans="1:2" x14ac:dyDescent="0.25">
      <c r="A31" t="s">
        <v>144</v>
      </c>
      <c r="B31" s="5">
        <f>0*price</f>
        <v>0</v>
      </c>
    </row>
    <row r="32" spans="1:2" x14ac:dyDescent="0.25">
      <c r="A32" t="s">
        <v>145</v>
      </c>
      <c r="B32" s="5">
        <f>vat_works*B24</f>
        <v>19320</v>
      </c>
    </row>
    <row r="33" spans="1:2" x14ac:dyDescent="0.25">
      <c r="A33" t="s">
        <v>146</v>
      </c>
      <c r="B33" s="5">
        <f>vat_ffe*B25</f>
        <v>36624</v>
      </c>
    </row>
    <row r="34" spans="1:2" x14ac:dyDescent="0.25">
      <c r="A34" t="s">
        <v>147</v>
      </c>
      <c r="B34" s="5">
        <f>vat_soft*B26</f>
        <v>15540</v>
      </c>
    </row>
    <row r="35" spans="1:2" x14ac:dyDescent="0.25">
      <c r="A35" t="s">
        <v>148</v>
      </c>
      <c r="B35" s="5">
        <f>vat_fees*(B23-ajd_pct*price-itp_pct*price)</f>
        <v>42987</v>
      </c>
    </row>
    <row r="36" spans="1:2" x14ac:dyDescent="0.25">
      <c r="A36" s="3" t="s">
        <v>149</v>
      </c>
      <c r="B36" s="5">
        <f>SUM(B31:B35)</f>
        <v>114471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9" width="12" customWidth="1"/>
  </cols>
  <sheetData>
    <row r="1" spans="1:1" x14ac:dyDescent="0.25">
      <c r="A1" s="2" t="s">
        <v>150</v>
      </c>
    </row>
    <row r="2" spans="3:9" x14ac:dyDescent="0.25">
      <c r="C2" s="3" t="s">
        <v>151</v>
      </c>
      <c r="D2" s="3" t="s">
        <v>152</v>
      </c>
      <c r="E2" s="3" t="s">
        <v>153</v>
      </c>
      <c r="F2" s="3" t="s">
        <v>154</v>
      </c>
      <c r="G2" s="3" t="s">
        <v>155</v>
      </c>
      <c r="H2" s="3" t="s">
        <v>156</v>
      </c>
      <c r="I2" s="3" t="s">
        <v>157</v>
      </c>
    </row>
    <row r="3" spans="1:9" x14ac:dyDescent="0.25">
      <c r="A3" t="s">
        <v>102</v>
      </c>
      <c r="C3" s="6">
        <f>occ_y1</f>
        <v>0.76</v>
      </c>
      <c r="D3" s="6">
        <f>occ_y2</f>
        <v>0.79</v>
      </c>
      <c r="E3" s="6">
        <f>occ_stab</f>
        <v>0.82</v>
      </c>
      <c r="F3" s="6">
        <f>occ_stab</f>
        <v>0.82</v>
      </c>
      <c r="G3" s="6">
        <f>occ_stab</f>
        <v>0.82</v>
      </c>
      <c r="H3" s="6">
        <f>occ_stab</f>
        <v>0.82</v>
      </c>
      <c r="I3" s="6">
        <f>occ_stab</f>
        <v>0.82</v>
      </c>
    </row>
    <row r="4" spans="1:9" x14ac:dyDescent="0.25">
      <c r="A4" t="s">
        <v>158</v>
      </c>
      <c r="C4" s="5">
        <f>blended_incl/(1+iva)*adr_y1f</f>
        <v>181.36363636363635</v>
      </c>
      <c r="D4" s="5">
        <f>blended_incl/(1+iva)</f>
        <v>190.9090909090909</v>
      </c>
      <c r="E4" s="5">
        <f>D4*(1+adr_infl)</f>
        <v>194.72727272727272</v>
      </c>
      <c r="F4" s="5">
        <f>E4*(1+adr_infl)</f>
        <v>198.62181818181818</v>
      </c>
      <c r="G4" s="5">
        <f>F4*(1+adr_infl)</f>
        <v>202.59425454545456</v>
      </c>
      <c r="H4" s="5">
        <f>G4*(1+adr_infl)</f>
        <v>206.64613963636364</v>
      </c>
      <c r="I4" s="5">
        <f>H4*(1+adr_infl)</f>
        <v>210.7790624290909</v>
      </c>
    </row>
    <row r="5" spans="1:9" x14ac:dyDescent="0.25">
      <c r="A5" t="s">
        <v>159</v>
      </c>
      <c r="C5" s="5">
        <f>C3*365*C4*unit_n</f>
        <v>804964.3636363635</v>
      </c>
      <c r="D5" s="5">
        <f>D3*365*D4*unit_n</f>
        <v>880778.1818181819</v>
      </c>
      <c r="E5" s="5">
        <f>E3*365*E4*unit_n</f>
        <v>932509.9636363635</v>
      </c>
      <c r="F5" s="5">
        <f>F3*365*F4*unit_n</f>
        <v>951160.1629090908</v>
      </c>
      <c r="G5" s="5">
        <f>G3*365*G4*unit_n</f>
        <v>970183.3661672727</v>
      </c>
      <c r="H5" s="5">
        <f>H3*365*H4*unit_n</f>
        <v>989587.0334906181</v>
      </c>
      <c r="I5" s="5">
        <f>I3*365*I4*unit_n</f>
        <v>1009378.7741604304</v>
      </c>
    </row>
    <row r="6" spans="1:9" x14ac:dyDescent="0.25">
      <c r="A6" t="s">
        <v>160</v>
      </c>
      <c r="C6" s="5">
        <f>clean_base*C3/occ_stab</f>
        <v>43498.28824833702</v>
      </c>
      <c r="D6" s="5">
        <f>clean_base*D3/occ_stab</f>
        <v>45215.325942350326</v>
      </c>
      <c r="E6" s="5">
        <f>clean_base*E3/occ_stab</f>
        <v>46932.363636363625</v>
      </c>
      <c r="F6" s="5">
        <f>clean_base*F3/occ_stab</f>
        <v>46932.363636363625</v>
      </c>
      <c r="G6" s="5">
        <f>clean_base*G3/occ_stab</f>
        <v>46932.363636363625</v>
      </c>
      <c r="H6" s="5">
        <f>clean_base*H3/occ_stab</f>
        <v>46932.363636363625</v>
      </c>
      <c r="I6" s="5">
        <f>clean_base*I3/occ_stab</f>
        <v>46932.363636363625</v>
      </c>
    </row>
    <row r="7" spans="1:9" x14ac:dyDescent="0.25">
      <c r="A7" t="s">
        <v>161</v>
      </c>
      <c r="C7" s="5">
        <f>mtr_rent_a*(1+mtr_rinfl)^MAX(0,1-2)</f>
        <v>0</v>
      </c>
      <c r="D7" s="5">
        <f>mtr_rent_a*(1+mtr_rinfl)^MAX(0,2-2)</f>
        <v>0</v>
      </c>
      <c r="E7" s="5">
        <f>mtr_rent_a*(1+mtr_rinfl)^MAX(0,3-2)</f>
        <v>0</v>
      </c>
      <c r="F7" s="5">
        <f>mtr_rent_a*(1+mtr_rinfl)^MAX(0,4-2)</f>
        <v>0</v>
      </c>
      <c r="G7" s="5">
        <f>mtr_rent_a*(1+mtr_rinfl)^MAX(0,5-2)</f>
        <v>0</v>
      </c>
      <c r="H7" s="5">
        <f>mtr_rent_a*(1+mtr_rinfl)^MAX(0,6-2)</f>
        <v>0</v>
      </c>
      <c r="I7" s="5">
        <f>mtr_rent_a*(1+mtr_rinfl)^MAX(0,7-2)</f>
        <v>0</v>
      </c>
    </row>
    <row r="8" spans="1:9" x14ac:dyDescent="0.25">
      <c r="A8" t="s">
        <v>162</v>
      </c>
      <c r="C8" s="5">
        <f>(anc_a+anc_units)*(1+cost_infl)^MAX(0,1-2)</f>
        <v>0</v>
      </c>
      <c r="D8" s="5">
        <f>(anc_a+anc_units)*(1+cost_infl)^MAX(0,2-2)</f>
        <v>0</v>
      </c>
      <c r="E8" s="5">
        <f>(anc_a+anc_units)*(1+cost_infl)^MAX(0,3-2)</f>
        <v>0</v>
      </c>
      <c r="F8" s="5">
        <f>(anc_a+anc_units)*(1+cost_infl)^MAX(0,4-2)</f>
        <v>0</v>
      </c>
      <c r="G8" s="5">
        <f>(anc_a+anc_units)*(1+cost_infl)^MAX(0,5-2)</f>
        <v>0</v>
      </c>
      <c r="H8" s="5">
        <f>(anc_a+anc_units)*(1+cost_infl)^MAX(0,6-2)</f>
        <v>0</v>
      </c>
      <c r="I8" s="5">
        <f>(anc_a+anc_units)*(1+cost_infl)^MAX(0,7-2)</f>
        <v>0</v>
      </c>
    </row>
    <row r="9" spans="1:9" x14ac:dyDescent="0.25">
      <c r="A9" s="3" t="s">
        <v>163</v>
      </c>
      <c r="C9" s="5">
        <f>C5+C6+C7+C8</f>
        <v>848462.6518847005</v>
      </c>
      <c r="D9" s="5">
        <f>D5+D6+D7+D8</f>
        <v>925993.5077605322</v>
      </c>
      <c r="E9" s="5">
        <f>E5+E6+E7+E8</f>
        <v>979442.3272727272</v>
      </c>
      <c r="F9" s="5">
        <f>F5+F6+F7+F8</f>
        <v>998092.5265454544</v>
      </c>
      <c r="G9" s="5">
        <f>G5+G6+G7+G8</f>
        <v>1017115.7298036363</v>
      </c>
      <c r="H9" s="5">
        <f>H5+H6+H7+H8</f>
        <v>1036519.3971269818</v>
      </c>
      <c r="I9" s="5">
        <f>I5+I6+I7+I8</f>
        <v>1056311.137796794</v>
      </c>
    </row>
    <row r="10" spans="1:9" x14ac:dyDescent="0.25">
      <c r="A10" t="s">
        <v>164</v>
      </c>
      <c r="C10" s="5">
        <f>-(C5+C6)*comm_pct</f>
        <v>-144238.6508203991</v>
      </c>
      <c r="D10" s="5">
        <f>-(D5+D6)*comm_pct</f>
        <v>-157418.89631929048</v>
      </c>
      <c r="E10" s="5">
        <f>-(E5+E6)*comm_pct</f>
        <v>-166505.19563636364</v>
      </c>
      <c r="F10" s="5">
        <f>-(F5+F6)*comm_pct</f>
        <v>-169675.72951272727</v>
      </c>
      <c r="G10" s="5">
        <f>-(G5+G6)*comm_pct</f>
        <v>-172909.6740666182</v>
      </c>
      <c r="H10" s="5">
        <f>-(H5+H6)*comm_pct</f>
        <v>-176208.29751158692</v>
      </c>
      <c r="I10" s="5">
        <f>-(I5+I6)*comm_pct</f>
        <v>-179572.893425455</v>
      </c>
    </row>
    <row r="11" spans="1:9" x14ac:dyDescent="0.25">
      <c r="A11" t="s">
        <v>165</v>
      </c>
      <c r="C11" s="5">
        <f>-turn_base*C3/occ_stab*hk_hours*hk_rate*C34</f>
        <v>-33125.61951219512</v>
      </c>
      <c r="D11" s="5">
        <f>-turn_base*D3/occ_stab*hk_hours*hk_rate*D34</f>
        <v>-35121.87395121951</v>
      </c>
      <c r="E11" s="5">
        <f>-turn_base*E3/occ_stab*hk_hours*hk_rate*E34</f>
        <v>-37184.728319999995</v>
      </c>
      <c r="F11" s="5">
        <f>-turn_base*F3/occ_stab*hk_hours*hk_rate*F34</f>
        <v>-37928.4228864</v>
      </c>
      <c r="G11" s="5">
        <f>-turn_base*G3/occ_stab*hk_hours*hk_rate*G34</f>
        <v>-38686.99134412799</v>
      </c>
      <c r="H11" s="5">
        <f>-turn_base*H3/occ_stab*hk_hours*hk_rate*H34</f>
        <v>-39460.73117101056</v>
      </c>
      <c r="I11" s="5">
        <f>-turn_base*I3/occ_stab*hk_hours*hk_rate*I34</f>
        <v>-40249.94579443077</v>
      </c>
    </row>
    <row r="12" spans="1:9" x14ac:dyDescent="0.25">
      <c r="A12" t="s">
        <v>166</v>
      </c>
      <c r="C12" s="5">
        <f>-turn_base*C3/occ_stab*linen_t*C34</f>
        <v>-7361.248780487804</v>
      </c>
      <c r="D12" s="5">
        <f>-turn_base*D3/occ_stab*linen_t*D34</f>
        <v>-7804.86087804878</v>
      </c>
      <c r="E12" s="5">
        <f>-turn_base*E3/occ_stab*linen_t*E34</f>
        <v>-8263.272959999998</v>
      </c>
      <c r="F12" s="5">
        <f>-turn_base*F3/occ_stab*linen_t*F34</f>
        <v>-8428.5384192</v>
      </c>
      <c r="G12" s="5">
        <f>-turn_base*G3/occ_stab*linen_t*G34</f>
        <v>-8597.109187584</v>
      </c>
      <c r="H12" s="5">
        <f>-turn_base*H3/occ_stab*linen_t*H34</f>
        <v>-8769.05137133568</v>
      </c>
      <c r="I12" s="5">
        <f>-turn_base*I3/occ_stab*linen_t*I34</f>
        <v>-8944.432398762392</v>
      </c>
    </row>
    <row r="13" spans="1:9" x14ac:dyDescent="0.25">
      <c r="A13" t="s">
        <v>167</v>
      </c>
      <c r="C13" s="5">
        <f>-turn_base*C3/occ_stab*amen_t*C34</f>
        <v>-4416.749268292682</v>
      </c>
      <c r="D13" s="5">
        <f>-turn_base*D3/occ_stab*amen_t*D34</f>
        <v>-4682.916526829268</v>
      </c>
      <c r="E13" s="5">
        <f>-turn_base*E3/occ_stab*amen_t*E34</f>
        <v>-4957.963776</v>
      </c>
      <c r="F13" s="5">
        <f>-turn_base*F3/occ_stab*amen_t*F34</f>
        <v>-5057.12305152</v>
      </c>
      <c r="G13" s="5">
        <f>-turn_base*G3/occ_stab*amen_t*G34</f>
        <v>-5158.2655125504</v>
      </c>
      <c r="H13" s="5">
        <f>-turn_base*H3/occ_stab*amen_t*H34</f>
        <v>-5261.430822801408</v>
      </c>
      <c r="I13" s="5">
        <f>-turn_base*I3/occ_stab*amen_t*I34</f>
        <v>-5366.659439257436</v>
      </c>
    </row>
    <row r="14" spans="1:9" x14ac:dyDescent="0.25">
      <c r="A14" s="3" t="s">
        <v>168</v>
      </c>
      <c r="C14" s="5">
        <f>C10+C11+C12+C13</f>
        <v>-189142.2683813747</v>
      </c>
      <c r="D14" s="5">
        <f>D10+D11+D12+D13</f>
        <v>-205028.54767538805</v>
      </c>
      <c r="E14" s="5">
        <f>E10+E11+E12+E13</f>
        <v>-216911.16069236363</v>
      </c>
      <c r="F14" s="5">
        <f>F10+F11+F12+F13</f>
        <v>-221089.81386984728</v>
      </c>
      <c r="G14" s="5">
        <f>G10+G11+G12+G13</f>
        <v>-225352.0401108806</v>
      </c>
      <c r="H14" s="5">
        <f>H10+H11+H12+H13</f>
        <v>-229699.51087673457</v>
      </c>
      <c r="I14" s="5">
        <f>I10+I11+I12+I13</f>
        <v>-234133.9310579056</v>
      </c>
    </row>
    <row r="15" spans="1:9" x14ac:dyDescent="0.25">
      <c r="A15" t="s">
        <v>169</v>
      </c>
      <c r="C15" s="5">
        <f>-admin_m*12*C34</f>
        <v>-2400</v>
      </c>
      <c r="D15" s="5">
        <f>-admin_m*12*D34</f>
        <v>-2448</v>
      </c>
      <c r="E15" s="5">
        <f>-admin_m*12*E34</f>
        <v>-2496.96</v>
      </c>
      <c r="F15" s="5">
        <f>-admin_m*12*F34</f>
        <v>-2546.8992000000003</v>
      </c>
      <c r="G15" s="5">
        <f>-admin_m*12*G34</f>
        <v>-2597.837184</v>
      </c>
      <c r="H15" s="5">
        <f>-admin_m*12*H34</f>
        <v>-2649.7939276800003</v>
      </c>
      <c r="I15" s="5">
        <f>-admin_m*12*I34</f>
        <v>-2702.7898062336003</v>
      </c>
    </row>
    <row r="16" spans="1:9" x14ac:dyDescent="0.25">
      <c r="A16" t="s">
        <v>170</v>
      </c>
      <c r="C16" s="5">
        <f>-(unit_n*util_m+mtr_n*mtr_util_m+cost_unit_n*commu_m)*12*C34</f>
        <v>-26304</v>
      </c>
      <c r="D16" s="5">
        <f>-(unit_n*util_m+mtr_n*mtr_util_m+cost_unit_n*commu_m)*12*D34</f>
        <v>-26830.08</v>
      </c>
      <c r="E16" s="5">
        <f>-(unit_n*util_m+mtr_n*mtr_util_m+cost_unit_n*commu_m)*12*E34</f>
        <v>-27366.6816</v>
      </c>
      <c r="F16" s="5">
        <f>-(unit_n*util_m+mtr_n*mtr_util_m+cost_unit_n*commu_m)*12*F34</f>
        <v>-27914.015232000005</v>
      </c>
      <c r="G16" s="5">
        <f>-(unit_n*util_m+mtr_n*mtr_util_m+cost_unit_n*commu_m)*12*G34</f>
        <v>-28472.29553664</v>
      </c>
      <c r="H16" s="5">
        <f>-(unit_n*util_m+mtr_n*mtr_util_m+cost_unit_n*commu_m)*12*H34</f>
        <v>-29041.741447372802</v>
      </c>
      <c r="I16" s="5">
        <f>-(unit_n*util_m+mtr_n*mtr_util_m+cost_unit_n*commu_m)*12*I34</f>
        <v>-29622.57627632026</v>
      </c>
    </row>
    <row r="17" spans="1:9" x14ac:dyDescent="0.25">
      <c r="A17" t="s">
        <v>171</v>
      </c>
      <c r="C17" s="5">
        <f>-C9*maint_pct</f>
        <v>-10181.551822616406</v>
      </c>
      <c r="D17" s="5">
        <f>-D9*maint_pct</f>
        <v>-11111.922093126386</v>
      </c>
      <c r="E17" s="5">
        <f>-E9*maint_pct</f>
        <v>-11753.307927272726</v>
      </c>
      <c r="F17" s="5">
        <f>-F9*maint_pct</f>
        <v>-11977.110318545452</v>
      </c>
      <c r="G17" s="5">
        <f>-G9*maint_pct</f>
        <v>-12205.388757643635</v>
      </c>
      <c r="H17" s="5">
        <f>-H9*maint_pct</f>
        <v>-12438.23276552378</v>
      </c>
      <c r="I17" s="5">
        <f>-I9*maint_pct</f>
        <v>-12675.733653561529</v>
      </c>
    </row>
    <row r="18" spans="1:9" x14ac:dyDescent="0.25">
      <c r="A18" t="s">
        <v>172</v>
      </c>
      <c r="C18" s="5">
        <f>-cost_unit_n*12*it_m*C34</f>
        <v>-7680</v>
      </c>
      <c r="D18" s="5">
        <f>-cost_unit_n*12*it_m*D34</f>
        <v>-7833.6</v>
      </c>
      <c r="E18" s="5">
        <f>-cost_unit_n*12*it_m*E34</f>
        <v>-7990.272</v>
      </c>
      <c r="F18" s="5">
        <f>-cost_unit_n*12*it_m*F34</f>
        <v>-8150.077440000001</v>
      </c>
      <c r="G18" s="5">
        <f>-cost_unit_n*12*it_m*G34</f>
        <v>-8313.0789888</v>
      </c>
      <c r="H18" s="5">
        <f>-cost_unit_n*12*it_m*H34</f>
        <v>-8479.340568576</v>
      </c>
      <c r="I18" s="5">
        <f>-cost_unit_n*12*it_m*I34</f>
        <v>-8648.927379947521</v>
      </c>
    </row>
    <row r="19" spans="1:9" x14ac:dyDescent="0.25">
      <c r="A19" t="s">
        <v>173</v>
      </c>
      <c r="C19" s="5">
        <f>-15000*C34</f>
        <v>-15000</v>
      </c>
      <c r="D19" s="5">
        <f>-15000*D34</f>
        <v>-15300</v>
      </c>
      <c r="E19" s="5">
        <f>-15000*E34</f>
        <v>-15606</v>
      </c>
      <c r="F19" s="5">
        <f>-15000*F34</f>
        <v>-15918.120000000003</v>
      </c>
      <c r="G19" s="5">
        <f>-15000*G34</f>
        <v>-16236.482399999999</v>
      </c>
      <c r="H19" s="5">
        <f>-15000*H34</f>
        <v>-16561.212048</v>
      </c>
      <c r="I19" s="5">
        <f>-15000*I34</f>
        <v>-16892.43628896</v>
      </c>
    </row>
    <row r="20" spans="1:9" x14ac:dyDescent="0.25">
      <c r="A20" t="s">
        <v>174</v>
      </c>
      <c r="C20" s="5">
        <f>-4*cost_unit_n*12*C34</f>
        <v>-768</v>
      </c>
      <c r="D20" s="5">
        <f>-4*cost_unit_n*12*D34</f>
        <v>-783.36</v>
      </c>
      <c r="E20" s="5">
        <f>-4*cost_unit_n*12*E34</f>
        <v>-799.0272</v>
      </c>
      <c r="F20" s="5">
        <f>-4*cost_unit_n*12*F34</f>
        <v>-815.0077440000001</v>
      </c>
      <c r="G20" s="5">
        <f>-4*cost_unit_n*12*G34</f>
        <v>-831.30789888</v>
      </c>
      <c r="H20" s="5">
        <f>-4*cost_unit_n*12*H34</f>
        <v>-847.9340568576</v>
      </c>
      <c r="I20" s="5">
        <f>-4*cost_unit_n*12*I34</f>
        <v>-864.892737994752</v>
      </c>
    </row>
    <row r="21" spans="1:9" x14ac:dyDescent="0.25">
      <c r="A21" s="3" t="s">
        <v>175</v>
      </c>
      <c r="C21" s="5">
        <f>C15+C16+C17+C18+C19+C20</f>
        <v>-62333.551822616406</v>
      </c>
      <c r="D21" s="5">
        <f>D15+D16+D17+D18+D19+D20</f>
        <v>-64306.962093126385</v>
      </c>
      <c r="E21" s="5">
        <f>E15+E16+E17+E18+E19+E20</f>
        <v>-66012.24872727272</v>
      </c>
      <c r="F21" s="5">
        <f>F15+F16+F17+F18+F19+F20</f>
        <v>-67321.22993454547</v>
      </c>
      <c r="G21" s="5">
        <f>G15+G16+G17+G18+G19+G20</f>
        <v>-68656.39076596363</v>
      </c>
      <c r="H21" s="5">
        <f>H15+H16+H17+H18+H19+H20</f>
        <v>-70018.25481401019</v>
      </c>
      <c r="I21" s="5">
        <f>I15+I16+I17+I18+I19+I20</f>
        <v>-71407.35614301766</v>
      </c>
    </row>
    <row r="22" spans="1:9" x14ac:dyDescent="0.25">
      <c r="A22" s="3" t="s">
        <v>176</v>
      </c>
      <c r="C22" s="5">
        <f>C9+C14+C21</f>
        <v>596986.8316807095</v>
      </c>
      <c r="D22" s="5">
        <f>D9+D14+D21</f>
        <v>656657.9979920178</v>
      </c>
      <c r="E22" s="5">
        <f>E9+E14+E21</f>
        <v>696518.9178530907</v>
      </c>
      <c r="F22" s="5">
        <f>F9+F14+F21</f>
        <v>709681.4827410617</v>
      </c>
      <c r="G22" s="5">
        <f>G9+G14+G21</f>
        <v>723107.2989267922</v>
      </c>
      <c r="H22" s="5">
        <f>H9+H14+H21</f>
        <v>736801.6314362371</v>
      </c>
      <c r="I22" s="5">
        <f>I9+I14+I21</f>
        <v>750769.8505958709</v>
      </c>
    </row>
    <row r="23" spans="1:9" x14ac:dyDescent="0.25">
      <c r="A23" t="s">
        <v>177</v>
      </c>
      <c r="C23" s="5">
        <f>-C9*mgmt_pct</f>
        <v>-131511.7110421286</v>
      </c>
      <c r="D23" s="5">
        <f>-D9*mgmt_pct</f>
        <v>-143528.9937028825</v>
      </c>
      <c r="E23" s="5">
        <f>-E9*mgmt_pct</f>
        <v>-151813.5607272727</v>
      </c>
      <c r="F23" s="5">
        <f>-F9*mgmt_pct</f>
        <v>-154704.34161454544</v>
      </c>
      <c r="G23" s="5">
        <f>-G9*mgmt_pct</f>
        <v>-157652.93811956362</v>
      </c>
      <c r="H23" s="5">
        <f>-H9*mgmt_pct</f>
        <v>-160660.50655468216</v>
      </c>
      <c r="I23" s="5">
        <f>-I9*mgmt_pct</f>
        <v>-163728.22635850307</v>
      </c>
    </row>
    <row r="24" spans="1:9" x14ac:dyDescent="0.25">
      <c r="A24" s="3" t="s">
        <v>178</v>
      </c>
      <c r="C24" s="5">
        <f>C23</f>
        <v>-131511.7110421286</v>
      </c>
      <c r="D24" s="5">
        <f>D23</f>
        <v>-143528.9937028825</v>
      </c>
      <c r="E24" s="5">
        <f>E23</f>
        <v>-151813.5607272727</v>
      </c>
      <c r="F24" s="5">
        <f>F23</f>
        <v>-154704.34161454544</v>
      </c>
      <c r="G24" s="5">
        <f>G23</f>
        <v>-157652.93811956362</v>
      </c>
      <c r="H24" s="5">
        <f>H23</f>
        <v>-160660.50655468216</v>
      </c>
      <c r="I24" s="5">
        <f>I23</f>
        <v>-163728.22635850307</v>
      </c>
    </row>
    <row r="25" spans="1:9" x14ac:dyDescent="0.25">
      <c r="A25" s="3" t="s">
        <v>179</v>
      </c>
      <c r="C25" s="5">
        <f>C22+C24</f>
        <v>465475.1206385809</v>
      </c>
      <c r="D25" s="5">
        <f>D22+D24</f>
        <v>513129.0042891352</v>
      </c>
      <c r="E25" s="5">
        <f>E22+E24</f>
        <v>544705.357125818</v>
      </c>
      <c r="F25" s="5">
        <f>F22+F24</f>
        <v>554977.1411265163</v>
      </c>
      <c r="G25" s="5">
        <f>G22+G24</f>
        <v>565454.3608072286</v>
      </c>
      <c r="H25" s="5">
        <f>H22+H24</f>
        <v>576141.124881555</v>
      </c>
      <c r="I25" s="5">
        <f>I22+I24</f>
        <v>587041.6242373678</v>
      </c>
    </row>
    <row r="26" spans="1:9" x14ac:dyDescent="0.25">
      <c r="A26" t="s">
        <v>180</v>
      </c>
      <c r="C26" s="5">
        <f>-ibi_a*C34</f>
        <v>-9600</v>
      </c>
      <c r="D26" s="5">
        <f>-ibi_a*D34</f>
        <v>-9792</v>
      </c>
      <c r="E26" s="5">
        <f>-ibi_a*E34</f>
        <v>-9987.84</v>
      </c>
      <c r="F26" s="5">
        <f>-ibi_a*F34</f>
        <v>-10187.596800000001</v>
      </c>
      <c r="G26" s="5">
        <f>-ibi_a*G34</f>
        <v>-10391.348736</v>
      </c>
      <c r="H26" s="5">
        <f>-ibi_a*H34</f>
        <v>-10599.175710720001</v>
      </c>
      <c r="I26" s="5">
        <f>-ibi_a*I34</f>
        <v>-10811.159224934401</v>
      </c>
    </row>
    <row r="27" spans="1:9" x14ac:dyDescent="0.25">
      <c r="A27" t="s">
        <v>181</v>
      </c>
      <c r="C27" s="5">
        <f>-cost_unit_n*12*ins_m*C34</f>
        <v>-2880</v>
      </c>
      <c r="D27" s="5">
        <f>-cost_unit_n*12*ins_m*D34</f>
        <v>-2937.6</v>
      </c>
      <c r="E27" s="5">
        <f>-cost_unit_n*12*ins_m*E34</f>
        <v>-2996.352</v>
      </c>
      <c r="F27" s="5">
        <f>-cost_unit_n*12*ins_m*F34</f>
        <v>-3056.2790400000004</v>
      </c>
      <c r="G27" s="5">
        <f>-cost_unit_n*12*ins_m*G34</f>
        <v>-3117.4046208</v>
      </c>
      <c r="H27" s="5">
        <f>-cost_unit_n*12*ins_m*H34</f>
        <v>-3179.752713216</v>
      </c>
      <c r="I27" s="5">
        <f>-cost_unit_n*12*ins_m*I34</f>
        <v>-3243.3477674803203</v>
      </c>
    </row>
    <row r="28" spans="1:9" x14ac:dyDescent="0.25">
      <c r="A28" s="3" t="s">
        <v>182</v>
      </c>
      <c r="C28" s="5">
        <f>C26+C27</f>
        <v>-12480</v>
      </c>
      <c r="D28" s="5">
        <f>D26+D27</f>
        <v>-12729.6</v>
      </c>
      <c r="E28" s="5">
        <f>E26+E27</f>
        <v>-12984.192</v>
      </c>
      <c r="F28" s="5">
        <f>F26+F27</f>
        <v>-13243.87584</v>
      </c>
      <c r="G28" s="5">
        <f>G26+G27</f>
        <v>-13508.7533568</v>
      </c>
      <c r="H28" s="5">
        <f>H26+H27</f>
        <v>-13778.928423936</v>
      </c>
      <c r="I28" s="5">
        <f>I26+I27</f>
        <v>-14054.506992414721</v>
      </c>
    </row>
    <row r="29" spans="1:9" x14ac:dyDescent="0.25">
      <c r="A29" s="3" t="s">
        <v>183</v>
      </c>
      <c r="C29" s="5">
        <f>C25+C28</f>
        <v>452995.1206385809</v>
      </c>
      <c r="D29" s="5">
        <f>D25+D28</f>
        <v>500399.40428913524</v>
      </c>
      <c r="E29" s="5">
        <f>E25+E28</f>
        <v>531721.165125818</v>
      </c>
      <c r="F29" s="5">
        <f>F25+F28</f>
        <v>541733.2652865163</v>
      </c>
      <c r="G29" s="5">
        <f>G25+G28</f>
        <v>551945.6074504287</v>
      </c>
      <c r="H29" s="5">
        <f>H25+H28</f>
        <v>562362.196457619</v>
      </c>
      <c r="I29" s="5">
        <f>I25+I28</f>
        <v>572987.117244953</v>
      </c>
    </row>
    <row r="30" spans="1:9" x14ac:dyDescent="0.25">
      <c r="A30" t="s">
        <v>184</v>
      </c>
      <c r="C30" s="5">
        <f>-C9*ffe_pct</f>
        <v>-21211.566297117515</v>
      </c>
      <c r="D30" s="5">
        <f>-D9*ffe_pct</f>
        <v>-23149.837694013306</v>
      </c>
      <c r="E30" s="5">
        <f>-E9*ffe_pct</f>
        <v>-24486.05818181818</v>
      </c>
      <c r="F30" s="5">
        <f>-F9*ffe_pct</f>
        <v>-24952.31316363636</v>
      </c>
      <c r="G30" s="5">
        <f>-G9*ffe_pct</f>
        <v>-25427.89324509091</v>
      </c>
      <c r="H30" s="5">
        <f>-H9*ffe_pct</f>
        <v>-25912.984928174545</v>
      </c>
      <c r="I30" s="5">
        <f>-I9*ffe_pct</f>
        <v>-26407.77844491985</v>
      </c>
    </row>
    <row r="31" spans="1:9" x14ac:dyDescent="0.25">
      <c r="A31" s="3" t="s">
        <v>185</v>
      </c>
      <c r="C31" s="5">
        <f>C29+C30</f>
        <v>431783.5543414634</v>
      </c>
      <c r="D31" s="5">
        <f>D29+D30</f>
        <v>477249.5665951219</v>
      </c>
      <c r="E31" s="5">
        <f>E29+E30</f>
        <v>507235.10694399977</v>
      </c>
      <c r="F31" s="5">
        <f>F29+F30</f>
        <v>516780.95212287985</v>
      </c>
      <c r="G31" s="5">
        <f>G29+G30</f>
        <v>526517.7142053376</v>
      </c>
      <c r="H31" s="5">
        <f>H29+H30</f>
        <v>536449.2115294444</v>
      </c>
      <c r="I31" s="5">
        <f>I29+I30</f>
        <v>546579.3388000332</v>
      </c>
    </row>
    <row r="33" spans="1:9" x14ac:dyDescent="0.25">
      <c r="A33" t="s">
        <v>186</v>
      </c>
      <c r="C33" s="5">
        <f>C5+C6+C10+C11+C12+C13</f>
        <v>659320.3835033259</v>
      </c>
      <c r="D33" s="5">
        <f>D5+D6+D10+D11+D12+D13</f>
        <v>720964.9600851442</v>
      </c>
      <c r="E33" s="5">
        <f>E5+E6+E10+E11+E12+E13</f>
        <v>762531.1665803634</v>
      </c>
      <c r="F33" s="5">
        <f>F5+F6+F10+F11+F12+F13</f>
        <v>777002.7126756072</v>
      </c>
      <c r="G33" s="5">
        <f>G5+G6+G10+G11+G12+G13</f>
        <v>791763.6896927557</v>
      </c>
      <c r="H33" s="5">
        <f>H5+H6+H10+H11+H12+H13</f>
        <v>806819.8862502472</v>
      </c>
      <c r="I33" s="5">
        <f>I5+I6+I10+I11+I12+I13</f>
        <v>822177.2067388885</v>
      </c>
    </row>
    <row r="34" spans="1:9" x14ac:dyDescent="0.25">
      <c r="A34" t="s">
        <v>187</v>
      </c>
      <c r="C34" s="13">
        <f>(1+cost_infl)^0</f>
        <v>1</v>
      </c>
      <c r="D34" s="13">
        <f>(1+cost_infl)^1</f>
        <v>1.02</v>
      </c>
      <c r="E34" s="13">
        <f>(1+cost_infl)^2</f>
        <v>1.0404</v>
      </c>
      <c r="F34" s="13">
        <f>(1+cost_infl)^3</f>
        <v>1.0612080000000002</v>
      </c>
      <c r="G34" s="13">
        <f>(1+cost_infl)^4</f>
        <v>1.08243216</v>
      </c>
      <c r="H34" s="13">
        <f>(1+cost_infl)^5</f>
        <v>1.1040808032</v>
      </c>
      <c r="I34" s="13">
        <f>(1+cost_infl)^6</f>
        <v>1.126162419264</v>
      </c>
    </row>
    <row r="35" spans="1:9" x14ac:dyDescent="0.25">
      <c r="A35" t="s">
        <v>188</v>
      </c>
      <c r="C35" s="5">
        <f>C33+C15+C16+C17+C18+C23+C26+C27+C30+C8+C7</f>
        <v>447551.5543414634</v>
      </c>
      <c r="D35" s="5">
        <f>D33+D15+D16+D17+D18+D23+D26+D27+D30+D8+D7</f>
        <v>493332.9265951219</v>
      </c>
      <c r="E35" s="5">
        <f>E33+E15+E16+E17+E18+E23+E26+E27+E30+E8+E7</f>
        <v>523640.1341439998</v>
      </c>
      <c r="F35" s="5">
        <f>F33+F15+F16+F17+F18+F23+F26+F27+F30+F8+F7</f>
        <v>533514.0798668799</v>
      </c>
      <c r="G35" s="5">
        <f>G33+G15+G16+G17+G18+G23+G26+G27+G30+G8+G7</f>
        <v>543585.5045042175</v>
      </c>
      <c r="H35" s="5">
        <f>H33+H15+H16+H17+H18+H23+H26+H27+H30+H8+H7</f>
        <v>553858.357634302</v>
      </c>
      <c r="I35" s="5">
        <f>I33+I15+I16+I17+I18+I23+I26+I27+I30+I8+I7</f>
        <v>564336.6678269879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9" width="12" customWidth="1"/>
  </cols>
  <sheetData>
    <row r="1" spans="1:1" x14ac:dyDescent="0.25">
      <c r="A1" s="2" t="s">
        <v>189</v>
      </c>
    </row>
    <row r="3" spans="1:2" x14ac:dyDescent="0.25">
      <c r="A3" t="s">
        <v>13</v>
      </c>
      <c r="B3" s="5">
        <f>ltv*tpc</f>
        <v>3328112.2448979593</v>
      </c>
    </row>
    <row r="4" spans="1:2" x14ac:dyDescent="0.25">
      <c r="A4" t="s">
        <v>15</v>
      </c>
      <c r="B4" s="5">
        <f>apertura_pct*B3+ajdm_pct*B3+tasacion_u*units_c+notaria_pct*B3+registro_pct*B3+gestoria_f</f>
        <v>73026.30102040817</v>
      </c>
    </row>
    <row r="5" spans="1:2" x14ac:dyDescent="0.25">
      <c r="A5" t="s">
        <v>16</v>
      </c>
      <c r="B5" s="5">
        <f>tpc-B3+B4</f>
        <v>3401138.5459183673</v>
      </c>
    </row>
    <row r="6" spans="1:2" x14ac:dyDescent="0.25">
      <c r="A6" t="s">
        <v>19</v>
      </c>
      <c r="B6" s="5">
        <f>B5*(1-gp_pct)</f>
        <v>2720910.836734694</v>
      </c>
    </row>
    <row r="7" spans="1:2" x14ac:dyDescent="0.25">
      <c r="A7" t="s">
        <v>20</v>
      </c>
      <c r="B7" s="5">
        <f>B5*gp_pct</f>
        <v>680227.7091836735</v>
      </c>
    </row>
    <row r="8" spans="1:2" x14ac:dyDescent="0.25">
      <c r="A8" t="s">
        <v>21</v>
      </c>
      <c r="B8" s="5">
        <f>-PMT(rate/12,term*12,B3)*12</f>
        <v>271023.4777404324</v>
      </c>
    </row>
    <row r="10" spans="3:9" x14ac:dyDescent="0.25">
      <c r="C10" s="3" t="s">
        <v>151</v>
      </c>
      <c r="D10" s="3" t="s">
        <v>152</v>
      </c>
      <c r="E10" s="3" t="s">
        <v>153</v>
      </c>
      <c r="F10" s="3" t="s">
        <v>154</v>
      </c>
      <c r="G10" s="3" t="s">
        <v>155</v>
      </c>
      <c r="H10" s="3" t="s">
        <v>156</v>
      </c>
      <c r="I10" s="3" t="s">
        <v>157</v>
      </c>
    </row>
    <row r="11" spans="1:9" x14ac:dyDescent="0.25">
      <c r="A11" t="s">
        <v>185</v>
      </c>
      <c r="C11" s="5">
        <f>'P&amp;L'!C31</f>
        <v>431783.5543414634</v>
      </c>
      <c r="D11" s="5">
        <f>'P&amp;L'!D31</f>
        <v>477249.5665951219</v>
      </c>
      <c r="E11" s="5">
        <f>'P&amp;L'!E31</f>
        <v>507235.10694399977</v>
      </c>
      <c r="F11" s="5">
        <f>'P&amp;L'!F31</f>
        <v>516780.95212287985</v>
      </c>
      <c r="G11" s="5">
        <f>'P&amp;L'!G31</f>
        <v>526517.7142053376</v>
      </c>
      <c r="H11" s="5">
        <f>'P&amp;L'!H31</f>
        <v>536449.2115294444</v>
      </c>
      <c r="I11" s="5">
        <f>'P&amp;L'!I31</f>
        <v>546579.3388000332</v>
      </c>
    </row>
    <row r="12" spans="1:9" x14ac:dyDescent="0.25">
      <c r="A12" t="s">
        <v>190</v>
      </c>
      <c r="C12" s="5">
        <f>IF(B$3=0,0,CUMIPMT(rate/12,term*12,B$3,1,12,0))</f>
        <v>-89243.2618226619</v>
      </c>
      <c r="D12" s="5">
        <f>IF(B$3=0,0,CUMIPMT(rate/12,term*12,B$3,13,24,0))</f>
        <v>-84180.81441163366</v>
      </c>
      <c r="E12" s="5">
        <f>IF(B$3=0,0,CUMIPMT(rate/12,term*12,B$3,25,36,0))</f>
        <v>-78977.38150523655</v>
      </c>
      <c r="F12" s="5">
        <f>IF(B$3=0,0,CUMIPMT(rate/12,term*12,B$3,37,48,0))</f>
        <v>-73629.03675949291</v>
      </c>
      <c r="G12" s="5">
        <f>IF(B$3=0,0,CUMIPMT(rate/12,term*12,B$3,49,60,0))</f>
        <v>-68131.7444845879</v>
      </c>
      <c r="H12" s="5">
        <f>IF(B$3=0,0,CUMIPMT(rate/12,term*12,B$3,61,72,0))</f>
        <v>-62481.35659966695</v>
      </c>
      <c r="I12" s="5">
        <f>IF(B$3=0,0,CUMIPMT(rate/12,term*12,B$3,73,84,0))</f>
        <v>-56673.609502826796</v>
      </c>
    </row>
    <row r="13" spans="1:9" x14ac:dyDescent="0.25">
      <c r="A13" t="s">
        <v>191</v>
      </c>
      <c r="C13" s="5">
        <f>IF(B$3=0,0,CUMPRINC(rate/12,term*12,B$3,1,12,0))</f>
        <v>-181780.21591777052</v>
      </c>
      <c r="D13" s="5">
        <f>IF(B$3=0,0,CUMPRINC(rate/12,term*12,B$3,13,24,0))</f>
        <v>-186842.66332879878</v>
      </c>
      <c r="E13" s="5">
        <f>IF(B$3=0,0,CUMPRINC(rate/12,term*12,B$3,25,36,0))</f>
        <v>-192046.09623519593</v>
      </c>
      <c r="F13" s="5">
        <f>IF(B$3=0,0,CUMPRINC(rate/12,term*12,B$3,37,48,0))</f>
        <v>-197394.44098093951</v>
      </c>
      <c r="G13" s="5">
        <f>IF(B$3=0,0,CUMPRINC(rate/12,term*12,B$3,49,60,0))</f>
        <v>-202891.73325584453</v>
      </c>
      <c r="H13" s="5">
        <f>IF(B$3=0,0,CUMPRINC(rate/12,term*12,B$3,61,72,0))</f>
        <v>-208542.1211407655</v>
      </c>
      <c r="I13" s="5">
        <f>IF(B$3=0,0,CUMPRINC(rate/12,term*12,B$3,73,84,0))</f>
        <v>-214349.86823760567</v>
      </c>
    </row>
    <row r="14" spans="1:9" x14ac:dyDescent="0.25">
      <c r="A14" t="s">
        <v>192</v>
      </c>
      <c r="C14" s="5">
        <f>C11+C12+C13</f>
        <v>160760.07660103095</v>
      </c>
      <c r="D14" s="5">
        <f>D11+D12+D13</f>
        <v>206226.0888546895</v>
      </c>
      <c r="E14" s="5">
        <f>E11+E12+E13</f>
        <v>236211.62920356728</v>
      </c>
      <c r="F14" s="5">
        <f>F11+F12+F13</f>
        <v>245757.47438244746</v>
      </c>
      <c r="G14" s="5">
        <f>G11+G12+G13</f>
        <v>255494.23646490512</v>
      </c>
      <c r="H14" s="5">
        <f>H11+H12+H13</f>
        <v>265425.733789012</v>
      </c>
      <c r="I14" s="5">
        <f>I11+I12+I13</f>
        <v>275555.8610596007</v>
      </c>
    </row>
    <row r="15" spans="1:9" x14ac:dyDescent="0.25">
      <c r="A15" t="s">
        <v>193</v>
      </c>
      <c r="C15" s="5">
        <f>MAX(0,C14)</f>
        <v>160760.07660103095</v>
      </c>
      <c r="D15" s="5">
        <f>MAX(0,D14)</f>
        <v>206226.0888546895</v>
      </c>
      <c r="E15" s="5">
        <f>MAX(0,E14)</f>
        <v>236211.62920356728</v>
      </c>
      <c r="F15" s="5">
        <f>MAX(0,F14)</f>
        <v>245757.47438244746</v>
      </c>
      <c r="G15" s="5">
        <f>MAX(0,G14)</f>
        <v>255494.23646490512</v>
      </c>
      <c r="H15" s="5">
        <f>MAX(0,H14)</f>
        <v>265425.733789012</v>
      </c>
      <c r="I15" s="5">
        <f>MAX(0,I14)</f>
        <v>275555.8610596007</v>
      </c>
    </row>
    <row r="16" spans="1:9" x14ac:dyDescent="0.25">
      <c r="A16" t="s">
        <v>194</v>
      </c>
      <c r="C16" s="5">
        <f>2938583.70367347</f>
        <v>2938583.70367347</v>
      </c>
      <c r="D16" s="5">
        <f>3034773.6937840567</f>
        <v>3034773.6937840567</v>
      </c>
      <c r="E16" s="5">
        <f>3099376.248516329</f>
        <v>3099376.248516329</v>
      </c>
      <c r="F16" s="5">
        <f>3143239.500765754</f>
        <v>3143239.500765754</v>
      </c>
      <c r="G16" s="5">
        <f>3182364.2029605806</f>
        <v>3182364.2029605806</v>
      </c>
      <c r="H16" s="5">
        <f>3216206.318891749</f>
        <v>3216206.318891749</v>
      </c>
      <c r="I16" s="5">
        <f>3244174.9904093826</f>
        <v>3244174.9904093826</v>
      </c>
    </row>
    <row r="17" spans="1:9" x14ac:dyDescent="0.25">
      <c r="A17" t="s">
        <v>195</v>
      </c>
      <c r="C17" s="5">
        <f>3047420.1371428575</f>
        <v>3047420.1371428575</v>
      </c>
      <c r="D17" s="5">
        <f>3269069.524965477</f>
        <v>3269069.524965477</v>
      </c>
      <c r="E17" s="5">
        <f>3476579.2923475327</f>
        <v>3476579.2923475327</v>
      </c>
      <c r="F17" s="5">
        <f>3682123.187662841</f>
        <v>3682123.187662841</v>
      </c>
      <c r="G17" s="5">
        <f>3903779.273135709</f>
        <v>3903779.273135709</v>
      </c>
      <c r="H17" s="5">
        <f>4143309.95003944</f>
        <v>4143309.95003944</v>
      </c>
      <c r="I17" s="5">
        <f>4402685.686569218</f>
        <v>4402685.686569218</v>
      </c>
    </row>
    <row r="18" spans="1:9" x14ac:dyDescent="0.25">
      <c r="A18" t="s">
        <v>196</v>
      </c>
      <c r="C18" s="5">
        <f>0</f>
        <v>0</v>
      </c>
      <c r="D18" s="5">
        <f>C18+C22</f>
        <v>128608.06128082477</v>
      </c>
      <c r="E18" s="5">
        <f>D18+D22</f>
        <v>293588.9323645764</v>
      </c>
      <c r="F18" s="5">
        <f>E18+E22</f>
        <v>482558.2357274302</v>
      </c>
      <c r="G18" s="5">
        <f>F18+F22</f>
        <v>679164.2152333881</v>
      </c>
      <c r="H18" s="5">
        <f>G18+G22</f>
        <v>883559.6044053122</v>
      </c>
      <c r="I18" s="5">
        <f>H18+H22</f>
        <v>1095900.1914365217</v>
      </c>
    </row>
    <row r="19" spans="1:9" x14ac:dyDescent="0.25">
      <c r="A19" t="s">
        <v>197</v>
      </c>
      <c r="C19" s="5">
        <f>160760.07660103095</f>
        <v>160760.07660103095</v>
      </c>
      <c r="D19" s="5">
        <f>206226.0888546895</f>
        <v>206226.0888546895</v>
      </c>
      <c r="E19" s="5">
        <f>236211.62920356728</f>
        <v>236211.62920356728</v>
      </c>
      <c r="F19" s="5">
        <f>245757.47438244746</f>
        <v>245757.47438244746</v>
      </c>
      <c r="G19" s="5">
        <f>255494.23646490512</f>
        <v>255494.23646490512</v>
      </c>
      <c r="H19" s="5">
        <f>265425.733789012</f>
        <v>265425.733789012</v>
      </c>
      <c r="I19" s="5">
        <f>275555.8610596007</f>
        <v>275555.8610596007</v>
      </c>
    </row>
    <row r="20" spans="1:9" x14ac:dyDescent="0.25">
      <c r="A20" t="s">
        <v>198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  <c r="G20" s="5">
        <f>0</f>
        <v>0</v>
      </c>
      <c r="H20" s="5">
        <f>0</f>
        <v>0</v>
      </c>
      <c r="I20" s="5">
        <f>0</f>
        <v>0</v>
      </c>
    </row>
    <row r="21" spans="1:9" x14ac:dyDescent="0.25">
      <c r="A21" t="s">
        <v>199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  <c r="G21" s="5">
        <f>0</f>
        <v>0</v>
      </c>
      <c r="H21" s="5">
        <f>0</f>
        <v>0</v>
      </c>
      <c r="I21" s="5">
        <f>0</f>
        <v>0</v>
      </c>
    </row>
    <row r="22" spans="1:9" x14ac:dyDescent="0.25">
      <c r="A22" t="s">
        <v>200</v>
      </c>
      <c r="C22" s="5">
        <f>128608.06128082477</f>
        <v>128608.06128082477</v>
      </c>
      <c r="D22" s="5">
        <f>164980.8710837516</f>
        <v>164980.8710837516</v>
      </c>
      <c r="E22" s="5">
        <f>188969.30336285383</f>
        <v>188969.30336285383</v>
      </c>
      <c r="F22" s="5">
        <f>196605.97950595798</f>
        <v>196605.97950595798</v>
      </c>
      <c r="G22" s="5">
        <f>204395.3891719241</f>
        <v>204395.3891719241</v>
      </c>
      <c r="H22" s="5">
        <f>212340.5870312096</f>
        <v>212340.5870312096</v>
      </c>
      <c r="I22" s="5">
        <f>220444.68884768058</f>
        <v>220444.68884768058</v>
      </c>
    </row>
    <row r="23" spans="1:9" x14ac:dyDescent="0.25">
      <c r="A23" t="s">
        <v>201</v>
      </c>
      <c r="C23" s="5">
        <f>32152.015320206177</f>
        <v>32152.015320206177</v>
      </c>
      <c r="D23" s="5">
        <f>41245.21777093789</f>
        <v>41245.21777093789</v>
      </c>
      <c r="E23" s="5">
        <f>47242.325840713456</f>
        <v>47242.325840713456</v>
      </c>
      <c r="F23" s="5">
        <f>49151.49487648948</f>
        <v>49151.49487648948</v>
      </c>
      <c r="G23" s="5">
        <f>51098.84729298102</f>
        <v>51098.84729298102</v>
      </c>
      <c r="H23" s="5">
        <f>53085.1467578024</f>
        <v>53085.1467578024</v>
      </c>
      <c r="I23" s="5">
        <f>55111.172211920144</f>
        <v>55111.172211920144</v>
      </c>
    </row>
    <row r="25" spans="1:2" x14ac:dyDescent="0.25">
      <c r="A25" t="s">
        <v>202</v>
      </c>
      <c r="B25" s="5">
        <f>'P&amp;L'!I31</f>
        <v>546579.3388000332</v>
      </c>
    </row>
    <row r="26" spans="1:2" x14ac:dyDescent="0.25">
      <c r="A26" t="s">
        <v>203</v>
      </c>
      <c r="B26" s="5">
        <f>B25/cap</f>
        <v>7808276.268571902</v>
      </c>
    </row>
    <row r="27" spans="1:2" x14ac:dyDescent="0.25">
      <c r="A27" t="s">
        <v>27</v>
      </c>
      <c r="B27" s="5">
        <f>-B26*sell_pct</f>
        <v>-156165.52537143804</v>
      </c>
    </row>
    <row r="28" spans="1:2" x14ac:dyDescent="0.25">
      <c r="A28" t="s">
        <v>204</v>
      </c>
      <c r="B28" s="5">
        <f>IF(B$3=0,0,B$3+CUMPRINC(rate/12,term*12,B$3,1,84,0))</f>
        <v>1944265.1058010396</v>
      </c>
    </row>
    <row r="29" spans="1:2" x14ac:dyDescent="0.25">
      <c r="A29" t="s">
        <v>205</v>
      </c>
      <c r="B29" s="5">
        <f>B26+B27-B28</f>
        <v>5707845.637399425</v>
      </c>
    </row>
    <row r="30" spans="1:2" x14ac:dyDescent="0.25">
      <c r="A30" t="s">
        <v>206</v>
      </c>
      <c r="B30" s="5">
        <f>MAX(0,B29-eq_total)</f>
        <v>2306707.0914810575</v>
      </c>
    </row>
    <row r="31" spans="1:2" x14ac:dyDescent="0.25">
      <c r="A31" t="s">
        <v>207</v>
      </c>
      <c r="B31" s="5">
        <f>4346141.485852914</f>
        <v>4346141.485852914</v>
      </c>
    </row>
    <row r="32" spans="1:2" x14ac:dyDescent="0.25">
      <c r="A32" t="s">
        <v>208</v>
      </c>
      <c r="B32" s="5">
        <f>1361704.1515465109</f>
        <v>1361704.1515465109</v>
      </c>
    </row>
    <row r="34" spans="1:9" x14ac:dyDescent="0.25">
      <c r="A34" t="s">
        <v>209</v>
      </c>
      <c r="B34" s="5">
        <f>-eq_lp</f>
        <v>-2720910.836734694</v>
      </c>
      <c r="C34" s="5">
        <f>C22</f>
        <v>128608.06128082477</v>
      </c>
      <c r="D34" s="5">
        <f>D22</f>
        <v>164980.8710837516</v>
      </c>
      <c r="E34" s="5">
        <f>E22</f>
        <v>188969.30336285383</v>
      </c>
      <c r="F34" s="5">
        <f>F22</f>
        <v>196605.97950595798</v>
      </c>
      <c r="G34" s="5">
        <f>G22</f>
        <v>204395.3891719241</v>
      </c>
      <c r="H34" s="5">
        <f>H22</f>
        <v>212340.5870312096</v>
      </c>
      <c r="I34" s="5">
        <f>I22+B31</f>
        <v>4566586.1747005945</v>
      </c>
    </row>
    <row r="36" spans="1:2" x14ac:dyDescent="0.25">
      <c r="A36" s="3" t="s">
        <v>31</v>
      </c>
      <c r="B36" s="6">
        <f>IRR(B34:I34)</f>
        <v>0.12497709252566416</v>
      </c>
    </row>
    <row r="37" spans="1:2" x14ac:dyDescent="0.25">
      <c r="A37" s="3" t="s">
        <v>210</v>
      </c>
      <c r="B37" s="5">
        <f>SUM(C22:I22)+B31</f>
        <v>5662486.366137116</v>
      </c>
    </row>
    <row r="38" spans="1:2" x14ac:dyDescent="0.25">
      <c r="A38" s="3" t="s">
        <v>211</v>
      </c>
      <c r="B38" s="7">
        <f>B37/eq_lp</f>
        <v>2.0810995677214263</v>
      </c>
    </row>
    <row r="39" spans="1:2" x14ac:dyDescent="0.25">
      <c r="A39" s="3" t="s">
        <v>212</v>
      </c>
      <c r="B39" s="6">
        <f>'P&amp;L'!E31/tpc</f>
        <v>0.07620462737120691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9" width="12" customWidth="1"/>
  </cols>
  <sheetData>
    <row r="1" spans="1:1" x14ac:dyDescent="0.25">
      <c r="A1" s="2" t="s">
        <v>213</v>
      </c>
    </row>
    <row r="3" spans="1:1" x14ac:dyDescent="0.25">
      <c r="A3" s="3" t="s">
        <v>214</v>
      </c>
    </row>
    <row r="4" spans="2:9" x14ac:dyDescent="0.25">
      <c r="B4" s="3" t="s">
        <v>215</v>
      </c>
      <c r="C4" s="3" t="s">
        <v>151</v>
      </c>
      <c r="D4" s="3" t="s">
        <v>152</v>
      </c>
      <c r="E4" s="3" t="s">
        <v>153</v>
      </c>
      <c r="F4" s="3" t="s">
        <v>154</v>
      </c>
      <c r="G4" s="3" t="s">
        <v>155</v>
      </c>
      <c r="H4" s="3" t="s">
        <v>156</v>
      </c>
      <c r="I4" s="3" t="s">
        <v>157</v>
      </c>
    </row>
    <row r="5" spans="1:2" x14ac:dyDescent="0.25">
      <c r="A5" t="s">
        <v>216</v>
      </c>
      <c r="B5" s="5">
        <f>-IF(Assumptions!$B$47&gt;0,tpc,cost_base)</f>
        <v>-6588989.898989899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-114471</v>
      </c>
    </row>
    <row r="8" spans="1:2" x14ac:dyDescent="0.25">
      <c r="A8" t="s">
        <v>217</v>
      </c>
      <c r="B8" s="5">
        <f>Assumptions!$B$47*tpc</f>
        <v>0</v>
      </c>
    </row>
    <row r="9" spans="1:2" x14ac:dyDescent="0.25">
      <c r="A9" t="s">
        <v>218</v>
      </c>
      <c r="B9" s="5">
        <f>(-(B5+B8+B6)-B7)*(1-gp_pct)</f>
        <v>5362768.719191919</v>
      </c>
    </row>
    <row r="10" spans="1:2" x14ac:dyDescent="0.25">
      <c r="A10" t="s">
        <v>219</v>
      </c>
      <c r="B10" s="5">
        <f>(-(B5+B8+B6)-B7)*gp_pct</f>
        <v>1340692.1797979798</v>
      </c>
    </row>
    <row r="11" spans="1:2" x14ac:dyDescent="0.25">
      <c r="A11" s="3" t="s">
        <v>220</v>
      </c>
      <c r="B11" s="5">
        <f>SUM(B5:B10)</f>
        <v>0</v>
      </c>
    </row>
    <row r="13" spans="1:9" x14ac:dyDescent="0.25">
      <c r="A13" t="s">
        <v>185</v>
      </c>
      <c r="C13" s="5">
        <f>'P&amp;L'!C31</f>
        <v>431783.5543414634</v>
      </c>
      <c r="D13" s="5">
        <f>'P&amp;L'!D31</f>
        <v>477249.5665951219</v>
      </c>
      <c r="E13" s="5">
        <f>'P&amp;L'!E31</f>
        <v>507235.10694399977</v>
      </c>
      <c r="F13" s="5">
        <f>'P&amp;L'!F31</f>
        <v>516780.95212287985</v>
      </c>
      <c r="G13" s="5">
        <f>'P&amp;L'!G31</f>
        <v>526517.7142053376</v>
      </c>
      <c r="H13" s="5">
        <f>'P&amp;L'!H31</f>
        <v>536449.2115294444</v>
      </c>
      <c r="I13" s="5">
        <f>'P&amp;L'!I31</f>
        <v>546579.3388000332</v>
      </c>
    </row>
    <row r="14" spans="1:9" x14ac:dyDescent="0.25">
      <c r="A14" t="s">
        <v>190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  <c r="G14" s="5">
        <f>IF(B8=0,0,CUMIPMT(Assumptions!$B$48/12,Assumptions!$B$49*12,B8,49,60,0))</f>
        <v>0</v>
      </c>
      <c r="H14" s="5">
        <f>IF(B8=0,0,CUMIPMT(Assumptions!$B$48/12,Assumptions!$B$49*12,B8,61,72,0))</f>
        <v>0</v>
      </c>
      <c r="I14" s="5">
        <f>IF(B8=0,0,CUMIPMT(Assumptions!$B$48/12,Assumptions!$B$49*12,B8,73,84,0))</f>
        <v>0</v>
      </c>
    </row>
    <row r="15" spans="1:9" x14ac:dyDescent="0.25">
      <c r="A15" t="s">
        <v>191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  <c r="G15" s="5">
        <f>IF(B8=0,0,CUMPRINC(Assumptions!$B$48/12,Assumptions!$B$49*12,B8,49,60,0))</f>
        <v>0</v>
      </c>
      <c r="H15" s="5">
        <f>IF(B8=0,0,CUMPRINC(Assumptions!$B$48/12,Assumptions!$B$49*12,B8,61,72,0))</f>
        <v>0</v>
      </c>
      <c r="I15" s="5">
        <f>IF(B8=0,0,CUMPRINC(Assumptions!$B$48/12,Assumptions!$B$49*12,B8,73,84,0))</f>
        <v>0</v>
      </c>
    </row>
    <row r="16" spans="1:9" x14ac:dyDescent="0.25">
      <c r="A16" t="s">
        <v>221</v>
      </c>
      <c r="C16" s="5">
        <f>C13+C14+C15</f>
        <v>431783.5543414634</v>
      </c>
      <c r="D16" s="5">
        <f>D13+D14+D15</f>
        <v>477249.5665951219</v>
      </c>
      <c r="E16" s="5">
        <f>E13+E14+E15</f>
        <v>507235.10694399977</v>
      </c>
      <c r="F16" s="5">
        <f>F13+F14+F15</f>
        <v>516780.95212287985</v>
      </c>
      <c r="G16" s="5">
        <f>G13+G14+G15</f>
        <v>526517.7142053376</v>
      </c>
      <c r="H16" s="5">
        <f>H13+H14+H15</f>
        <v>536449.2115294444</v>
      </c>
      <c r="I16" s="5">
        <f>I13+I14+I15</f>
        <v>546579.3388000332</v>
      </c>
    </row>
    <row r="17" spans="1:9" x14ac:dyDescent="0.25">
      <c r="A17" t="s">
        <v>222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  <c r="G17" s="5">
        <f>0</f>
        <v>0</v>
      </c>
      <c r="H17" s="5">
        <f>0</f>
        <v>0</v>
      </c>
      <c r="I17" s="5">
        <f>0</f>
        <v>0</v>
      </c>
    </row>
    <row r="18" spans="1:9" x14ac:dyDescent="0.25">
      <c r="A18" t="s">
        <v>223</v>
      </c>
      <c r="C18" s="5">
        <f>IF(1=MIN(MAX(1,ROUNDUP(vat_months/12,0)),7),-B7,0)</f>
        <v>114471</v>
      </c>
      <c r="D18" s="5">
        <f>IF(2=MIN(MAX(1,ROUNDUP(vat_months/12,0)),7),-B7,0)</f>
        <v>0</v>
      </c>
      <c r="E18" s="5">
        <f>IF(3=MIN(MAX(1,ROUNDUP(vat_months/12,0)),7),-B7,0)</f>
        <v>0</v>
      </c>
      <c r="F18" s="5">
        <f>IF(4=MIN(MAX(1,ROUNDUP(vat_months/12,0)),7),-B7,0)</f>
        <v>0</v>
      </c>
      <c r="G18" s="5">
        <f>IF(5=MIN(MAX(1,ROUNDUP(vat_months/12,0)),7),-B7,0)</f>
        <v>0</v>
      </c>
      <c r="H18" s="5">
        <f>IF(6=MIN(MAX(1,ROUNDUP(vat_months/12,0)),7),-B7,0)</f>
        <v>0</v>
      </c>
      <c r="I18" s="5">
        <f>IF(7=MIN(MAX(1,ROUNDUP(vat_months/12,0)),7),-B7,0)</f>
        <v>0</v>
      </c>
    </row>
    <row r="19" spans="1:9" x14ac:dyDescent="0.25">
      <c r="A19" t="s">
        <v>224</v>
      </c>
      <c r="C19" s="5">
        <f>C16+C17+C18</f>
        <v>546254.5543414634</v>
      </c>
      <c r="D19" s="5">
        <f>C19+D16+D17+D18</f>
        <v>1023504.1209365854</v>
      </c>
      <c r="E19" s="5">
        <f>D19+E16+E17+E18</f>
        <v>1530739.227880585</v>
      </c>
      <c r="F19" s="5">
        <f>E19+F16+F17+F18</f>
        <v>2047520.180003465</v>
      </c>
      <c r="G19" s="5">
        <f>F19+G16+G17+G18</f>
        <v>2574037.8942088024</v>
      </c>
      <c r="H19" s="5">
        <f>G19+H16+H17+H18</f>
        <v>3110487.105738247</v>
      </c>
      <c r="I19" s="5">
        <f>H19+I16+I17+I18</f>
        <v>3657066.44453828</v>
      </c>
    </row>
    <row r="20" spans="1:9" x14ac:dyDescent="0.25">
      <c r="A20" t="s">
        <v>225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  <c r="G20" s="7">
        <f>IF((G14+G15)=0,0,-G13/(G14+G15))</f>
        <v>0</v>
      </c>
      <c r="H20" s="7">
        <f>IF((H14+H15)=0,0,-H13/(H14+H15))</f>
        <v>0</v>
      </c>
      <c r="I20" s="7">
        <f>IF((I14+I15)=0,0,-I13/(I14+I15))</f>
        <v>0</v>
      </c>
    </row>
    <row r="22" spans="1:9" x14ac:dyDescent="0.25">
      <c r="A22" t="s">
        <v>26</v>
      </c>
      <c r="C22" s="5">
        <f>IF(1=7,'P&amp;L'!I31/cap,0)</f>
        <v>0</v>
      </c>
      <c r="D22" s="5">
        <f>IF(2=7,'P&amp;L'!I31/cap,0)</f>
        <v>0</v>
      </c>
      <c r="E22" s="5">
        <f>IF(3=7,'P&amp;L'!I31/cap,0)</f>
        <v>0</v>
      </c>
      <c r="F22" s="5">
        <f>IF(4=7,'P&amp;L'!I31/cap,0)</f>
        <v>0</v>
      </c>
      <c r="G22" s="5">
        <f>IF(5=7,'P&amp;L'!I31/cap,0)</f>
        <v>0</v>
      </c>
      <c r="H22" s="5">
        <f>IF(6=7,'P&amp;L'!I31/cap,0)</f>
        <v>0</v>
      </c>
      <c r="I22" s="5">
        <f>IF(7=7,'P&amp;L'!I31/cap,0)</f>
        <v>7808276.268571902</v>
      </c>
    </row>
    <row r="23" spans="1:9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0</v>
      </c>
      <c r="G23" s="5">
        <f>-G22*sell_pct</f>
        <v>0</v>
      </c>
      <c r="H23" s="5">
        <f>-H22*sell_pct</f>
        <v>0</v>
      </c>
      <c r="I23" s="5">
        <f>-I22*sell_pct</f>
        <v>-156165.5253714379</v>
      </c>
    </row>
    <row r="24" spans="1:9" x14ac:dyDescent="0.25">
      <c r="A24" t="s">
        <v>28</v>
      </c>
      <c r="C24" s="5">
        <f>IF(1&lt;7,0,IF(B8=0,0,-(B8+CUMPRINC(Assumptions!$B$48/12,Assumptions!$B$49*12,B8,1,84,0))))</f>
        <v>0</v>
      </c>
      <c r="D24" s="5">
        <f>IF(2&lt;7,0,IF(B8=0,0,-(B8+CUMPRINC(Assumptions!$B$48/12,Assumptions!$B$49*12,B8,1,84,0))))</f>
        <v>0</v>
      </c>
      <c r="E24" s="5">
        <f>IF(3&lt;7,0,IF(B8=0,0,-(B8+CUMPRINC(Assumptions!$B$48/12,Assumptions!$B$49*12,B8,1,84,0))))</f>
        <v>0</v>
      </c>
      <c r="F24" s="5">
        <f>IF(4&lt;7,0,IF(B8=0,0,-(B8+CUMPRINC(Assumptions!$B$48/12,Assumptions!$B$49*12,B8,1,84,0))))</f>
        <v>0</v>
      </c>
      <c r="G24" s="5">
        <f>IF(5&lt;7,0,IF(B8=0,0,-(B8+CUMPRINC(Assumptions!$B$48/12,Assumptions!$B$49*12,B8,1,84,0))))</f>
        <v>0</v>
      </c>
      <c r="H24" s="5">
        <f>IF(6&lt;7,0,IF(B8=0,0,-(B8+CUMPRINC(Assumptions!$B$48/12,Assumptions!$B$49*12,B8,1,84,0))))</f>
        <v>0</v>
      </c>
      <c r="I24" s="5">
        <f>IF(7&lt;7,0,IF(B8=0,0,-(B8+CUMPRINC(Assumptions!$B$48/12,Assumptions!$B$49*12,B8,1,84,0))))</f>
        <v>0</v>
      </c>
    </row>
    <row r="25" spans="1:9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0</v>
      </c>
      <c r="G25" s="5">
        <f>G22+G23+G24</f>
        <v>0</v>
      </c>
      <c r="H25" s="5">
        <f>H22+H23+H24</f>
        <v>0</v>
      </c>
      <c r="I25" s="5">
        <f>I22+I23+I24</f>
        <v>7652110.743200464</v>
      </c>
    </row>
    <row r="27" spans="1:9" x14ac:dyDescent="0.25">
      <c r="A27" t="s">
        <v>200</v>
      </c>
      <c r="C27" s="5">
        <f>345426.8434731707</f>
        <v>345426.8434731707</v>
      </c>
      <c r="D27" s="5">
        <f>381799.65327609755</f>
        <v>381799.65327609755</v>
      </c>
      <c r="E27" s="5">
        <f>405788.0855551998</f>
        <v>405788.0855551998</v>
      </c>
      <c r="F27" s="5">
        <f>413424.7616983039</f>
        <v>413424.7616983039</v>
      </c>
      <c r="G27" s="5">
        <f>421214.1713642701</f>
        <v>421214.1713642701</v>
      </c>
      <c r="H27" s="5">
        <f>429159.36922355555</f>
        <v>429159.36922355555</v>
      </c>
      <c r="I27" s="5">
        <f>437263.4710400266</f>
        <v>437263.4710400266</v>
      </c>
    </row>
    <row r="28" spans="1:9" x14ac:dyDescent="0.25">
      <c r="A28" t="s">
        <v>201</v>
      </c>
      <c r="C28" s="5">
        <f>86356.71086829266</f>
        <v>86356.71086829266</v>
      </c>
      <c r="D28" s="5">
        <f>95449.91331902437</f>
        <v>95449.91331902437</v>
      </c>
      <c r="E28" s="5">
        <f>101447.02138879994</f>
        <v>101447.02138879994</v>
      </c>
      <c r="F28" s="5">
        <f>103356.19042457594</f>
        <v>103356.19042457594</v>
      </c>
      <c r="G28" s="5">
        <f>105303.54284106748</f>
        <v>105303.54284106748</v>
      </c>
      <c r="H28" s="5">
        <f>107289.84230588889</f>
        <v>107289.84230588889</v>
      </c>
      <c r="I28" s="5">
        <f>109315.86776000663</f>
        <v>109315.86776000663</v>
      </c>
    </row>
    <row r="29" spans="1:9" x14ac:dyDescent="0.25">
      <c r="A29" t="s">
        <v>226</v>
      </c>
      <c r="C29" s="5">
        <f>IF(1=7,6038956.589575917,0)</f>
        <v>0</v>
      </c>
      <c r="D29" s="5">
        <f>IF(2=7,6038956.589575917,0)</f>
        <v>0</v>
      </c>
      <c r="E29" s="5">
        <f>IF(3=7,6038956.589575917,0)</f>
        <v>0</v>
      </c>
      <c r="F29" s="5">
        <f>IF(4=7,6038956.589575917,0)</f>
        <v>0</v>
      </c>
      <c r="G29" s="5">
        <f>IF(5=7,6038956.589575917,0)</f>
        <v>0</v>
      </c>
      <c r="H29" s="5">
        <f>IF(6=7,6038956.589575917,0)</f>
        <v>0</v>
      </c>
      <c r="I29" s="5">
        <f>IF(7=7,6038956.589575917,0)</f>
        <v>6038956.589575917</v>
      </c>
    </row>
    <row r="30" spans="1:9" x14ac:dyDescent="0.25">
      <c r="A30" t="s">
        <v>227</v>
      </c>
      <c r="C30" s="5">
        <f>IF(1=7,1613154.1536245467,0)</f>
        <v>0</v>
      </c>
      <c r="D30" s="5">
        <f>IF(2=7,1613154.1536245467,0)</f>
        <v>0</v>
      </c>
      <c r="E30" s="5">
        <f>IF(3=7,1613154.1536245467,0)</f>
        <v>0</v>
      </c>
      <c r="F30" s="5">
        <f>IF(4=7,1613154.1536245467,0)</f>
        <v>0</v>
      </c>
      <c r="G30" s="5">
        <f>IF(5=7,1613154.1536245467,0)</f>
        <v>0</v>
      </c>
      <c r="H30" s="5">
        <f>IF(6=7,1613154.1536245467,0)</f>
        <v>0</v>
      </c>
      <c r="I30" s="5">
        <f>IF(7=7,1613154.1536245467,0)</f>
        <v>1613154.1536245467</v>
      </c>
    </row>
    <row r="31" spans="1:9" x14ac:dyDescent="0.25">
      <c r="A31" t="s">
        <v>228</v>
      </c>
      <c r="C31" s="5">
        <f>(C17+C18)*(1-gp_pct)</f>
        <v>91576.8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  <c r="G31" s="5">
        <f>(G17+G18)*(1-gp_pct)</f>
        <v>0</v>
      </c>
      <c r="H31" s="5">
        <f>(H17+H18)*(1-gp_pct)</f>
        <v>0</v>
      </c>
      <c r="I31" s="5">
        <f>(I17+I18)*(1-gp_pct)</f>
        <v>0</v>
      </c>
    </row>
    <row r="32" spans="1:9" x14ac:dyDescent="0.25">
      <c r="A32" t="s">
        <v>229</v>
      </c>
      <c r="C32" s="5">
        <f>(C17+C18)*gp_pct</f>
        <v>22894.199999999993</v>
      </c>
      <c r="D32" s="5">
        <f>(D17+D18)*gp_pct</f>
        <v>0</v>
      </c>
      <c r="E32" s="5">
        <f>(E17+E18)*gp_pct</f>
        <v>0</v>
      </c>
      <c r="F32" s="5">
        <f>(F17+F18)*gp_pct</f>
        <v>0</v>
      </c>
      <c r="G32" s="5">
        <f>(G17+G18)*gp_pct</f>
        <v>0</v>
      </c>
      <c r="H32" s="5">
        <f>(H17+H18)*gp_pct</f>
        <v>0</v>
      </c>
      <c r="I32" s="5">
        <f>(I17+I18)*gp_pct</f>
        <v>0</v>
      </c>
    </row>
    <row r="33" spans="1:9" x14ac:dyDescent="0.25">
      <c r="A33" s="3" t="s">
        <v>230</v>
      </c>
      <c r="C33" s="5">
        <f>SUM(C27:C32)</f>
        <v>546254.5543414634</v>
      </c>
      <c r="D33" s="5">
        <f>SUM(D27:D32)</f>
        <v>477249.5665951219</v>
      </c>
      <c r="E33" s="5">
        <f>SUM(E27:E32)</f>
        <v>507235.10694399977</v>
      </c>
      <c r="F33" s="5">
        <f>SUM(F27:F32)</f>
        <v>516780.95212287985</v>
      </c>
      <c r="G33" s="5">
        <f>SUM(G27:G32)</f>
        <v>526517.7142053376</v>
      </c>
      <c r="H33" s="5">
        <f>SUM(H27:H32)</f>
        <v>536449.2115294444</v>
      </c>
      <c r="I33" s="5">
        <f>SUM(I27:I32)</f>
        <v>8198690.082000498</v>
      </c>
    </row>
    <row r="35" spans="1:9" x14ac:dyDescent="0.25">
      <c r="A35" t="s">
        <v>231</v>
      </c>
      <c r="C35" s="5">
        <f>C16+C17+C18+C25</f>
        <v>546254.5543414634</v>
      </c>
      <c r="D35" s="5">
        <f>D16+D17+D18+D25</f>
        <v>477249.5665951219</v>
      </c>
      <c r="E35" s="5">
        <f>E16+E17+E18+E25</f>
        <v>507235.10694399977</v>
      </c>
      <c r="F35" s="5">
        <f>F16+F17+F18+F25</f>
        <v>516780.95212287985</v>
      </c>
      <c r="G35" s="5">
        <f>G16+G17+G18+G25</f>
        <v>526517.7142053376</v>
      </c>
      <c r="H35" s="5">
        <f>H16+H17+H18+H25</f>
        <v>536449.2115294444</v>
      </c>
      <c r="I35" s="5">
        <f>I16+I17+I18+I25</f>
        <v>8198690.082000498</v>
      </c>
    </row>
    <row r="36" spans="1:9" x14ac:dyDescent="0.25">
      <c r="A36" t="s">
        <v>232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  <c r="G36" s="5">
        <f>G35-G33</f>
        <v>0</v>
      </c>
      <c r="H36" s="5">
        <f>H35-H33</f>
        <v>0</v>
      </c>
      <c r="I36" s="5">
        <f>I35-I33</f>
        <v>0</v>
      </c>
    </row>
    <row r="38" spans="1:9" x14ac:dyDescent="0.25">
      <c r="A38" t="s">
        <v>233</v>
      </c>
      <c r="B38" s="5">
        <f>-B9</f>
        <v>-5362768.719191919</v>
      </c>
      <c r="C38" s="5">
        <f>C27+C29+C31</f>
        <v>437003.6434731707</v>
      </c>
      <c r="D38" s="5">
        <f>D27+D29+D31</f>
        <v>381799.65327609755</v>
      </c>
      <c r="E38" s="5">
        <f>E27+E29+E31</f>
        <v>405788.0855551998</v>
      </c>
      <c r="F38" s="5">
        <f>F27+F29+F31</f>
        <v>413424.7616983039</v>
      </c>
      <c r="G38" s="5">
        <f>G27+G29+G31</f>
        <v>421214.1713642701</v>
      </c>
      <c r="H38" s="5">
        <f>H27+H29+H31</f>
        <v>429159.36922355555</v>
      </c>
      <c r="I38" s="5">
        <f>I27+I29+I31</f>
        <v>6476220.060615944</v>
      </c>
    </row>
    <row r="39" spans="1:9" x14ac:dyDescent="0.25">
      <c r="A39" t="s">
        <v>234</v>
      </c>
      <c r="B39" s="5">
        <f>B38</f>
        <v>-5362768.719191919</v>
      </c>
      <c r="C39" s="5">
        <f>B39+C38</f>
        <v>-4925765.075718748</v>
      </c>
      <c r="D39" s="5">
        <f>C39+D38</f>
        <v>-4543965.42244265</v>
      </c>
      <c r="E39" s="5">
        <f>D39+E38</f>
        <v>-4138177.3368874504</v>
      </c>
      <c r="F39" s="5">
        <f>E39+F38</f>
        <v>-3724752.5751891467</v>
      </c>
      <c r="G39" s="5">
        <f>F39+G38</f>
        <v>-3303538.4038248765</v>
      </c>
      <c r="H39" s="5">
        <f>G39+H38</f>
        <v>-2874379.034601321</v>
      </c>
      <c r="I39" s="5">
        <f>H39+I38</f>
        <v>3601841.0260146228</v>
      </c>
    </row>
    <row r="42" spans="1:1" x14ac:dyDescent="0.25">
      <c r="A42" s="3" t="s">
        <v>235</v>
      </c>
    </row>
    <row r="43" spans="2:9" x14ac:dyDescent="0.25">
      <c r="B43" s="3" t="s">
        <v>215</v>
      </c>
      <c r="C43" s="3" t="s">
        <v>151</v>
      </c>
      <c r="D43" s="3" t="s">
        <v>152</v>
      </c>
      <c r="E43" s="3" t="s">
        <v>153</v>
      </c>
      <c r="F43" s="3" t="s">
        <v>154</v>
      </c>
      <c r="G43" s="3" t="s">
        <v>155</v>
      </c>
      <c r="H43" s="3" t="s">
        <v>156</v>
      </c>
      <c r="I43" s="3" t="s">
        <v>157</v>
      </c>
    </row>
    <row r="44" spans="1:2" x14ac:dyDescent="0.25">
      <c r="A44" t="s">
        <v>216</v>
      </c>
      <c r="B44" s="5">
        <f>-IF(Assumptions!$C$47&gt;0,tpc,cost_base)</f>
        <v>-6656224.489795919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-73026.30102040817</v>
      </c>
    </row>
    <row r="46" spans="1:2" x14ac:dyDescent="0.25">
      <c r="A46" t="s">
        <v>17</v>
      </c>
      <c r="B46" s="5">
        <f>-vat_float</f>
        <v>-114471</v>
      </c>
    </row>
    <row r="47" spans="1:2" x14ac:dyDescent="0.25">
      <c r="A47" t="s">
        <v>217</v>
      </c>
      <c r="B47" s="5">
        <f>Assumptions!$C$47*tpc</f>
        <v>3328112.2448979593</v>
      </c>
    </row>
    <row r="48" spans="1:2" x14ac:dyDescent="0.25">
      <c r="A48" t="s">
        <v>218</v>
      </c>
      <c r="B48" s="5">
        <f>(-(B44+B47+B45)-B46)*(1-gp_pct)</f>
        <v>2812487.636734694</v>
      </c>
    </row>
    <row r="49" spans="1:2" x14ac:dyDescent="0.25">
      <c r="A49" t="s">
        <v>219</v>
      </c>
      <c r="B49" s="5">
        <f>(-(B44+B47+B45)-B46)*gp_pct</f>
        <v>703121.9091836734</v>
      </c>
    </row>
    <row r="50" spans="1:2" x14ac:dyDescent="0.25">
      <c r="A50" s="3" t="s">
        <v>220</v>
      </c>
      <c r="B50" s="5">
        <f>SUM(B44:B49)</f>
        <v>0</v>
      </c>
    </row>
    <row r="52" spans="1:9" x14ac:dyDescent="0.25">
      <c r="A52" t="s">
        <v>185</v>
      </c>
      <c r="C52" s="5">
        <f>'P&amp;L'!C31</f>
        <v>431783.5543414634</v>
      </c>
      <c r="D52" s="5">
        <f>'P&amp;L'!D31</f>
        <v>477249.5665951219</v>
      </c>
      <c r="E52" s="5">
        <f>'P&amp;L'!E31</f>
        <v>507235.10694399977</v>
      </c>
      <c r="F52" s="5">
        <f>'P&amp;L'!F31</f>
        <v>516780.95212287985</v>
      </c>
      <c r="G52" s="5">
        <f>'P&amp;L'!G31</f>
        <v>526517.7142053376</v>
      </c>
      <c r="H52" s="5">
        <f>'P&amp;L'!H31</f>
        <v>536449.2115294444</v>
      </c>
      <c r="I52" s="5">
        <f>'P&amp;L'!I31</f>
        <v>546579.3388000332</v>
      </c>
    </row>
    <row r="53" spans="1:9" x14ac:dyDescent="0.25">
      <c r="A53" t="s">
        <v>190</v>
      </c>
      <c r="C53" s="5">
        <f>IF(B47=0,0,CUMIPMT(Assumptions!$C$48/12,Assumptions!$C$49*12,B47,1,12,0))</f>
        <v>-89243.2618226619</v>
      </c>
      <c r="D53" s="5">
        <f>IF(B47=0,0,CUMIPMT(Assumptions!$C$48/12,Assumptions!$C$49*12,B47,13,24,0))</f>
        <v>-84180.81441163366</v>
      </c>
      <c r="E53" s="5">
        <f>IF(B47=0,0,CUMIPMT(Assumptions!$C$48/12,Assumptions!$C$49*12,B47,25,36,0))</f>
        <v>-78977.38150523655</v>
      </c>
      <c r="F53" s="5">
        <f>IF(B47=0,0,CUMIPMT(Assumptions!$C$48/12,Assumptions!$C$49*12,B47,37,48,0))</f>
        <v>-73629.03675949291</v>
      </c>
      <c r="G53" s="5">
        <f>IF(B47=0,0,CUMIPMT(Assumptions!$C$48/12,Assumptions!$C$49*12,B47,49,60,0))</f>
        <v>-68131.7444845879</v>
      </c>
      <c r="H53" s="5">
        <f>IF(B47=0,0,CUMIPMT(Assumptions!$C$48/12,Assumptions!$C$49*12,B47,61,72,0))</f>
        <v>-62481.35659966695</v>
      </c>
      <c r="I53" s="5">
        <f>IF(B47=0,0,CUMIPMT(Assumptions!$C$48/12,Assumptions!$C$49*12,B47,73,84,0))</f>
        <v>-56673.609502826796</v>
      </c>
    </row>
    <row r="54" spans="1:9" x14ac:dyDescent="0.25">
      <c r="A54" t="s">
        <v>191</v>
      </c>
      <c r="C54" s="5">
        <f>IF(B47=0,0,CUMPRINC(Assumptions!$C$48/12,Assumptions!$C$49*12,B47,1,12,0))</f>
        <v>-181780.21591777052</v>
      </c>
      <c r="D54" s="5">
        <f>IF(B47=0,0,CUMPRINC(Assumptions!$C$48/12,Assumptions!$C$49*12,B47,13,24,0))</f>
        <v>-186842.66332879878</v>
      </c>
      <c r="E54" s="5">
        <f>IF(B47=0,0,CUMPRINC(Assumptions!$C$48/12,Assumptions!$C$49*12,B47,25,36,0))</f>
        <v>-192046.09623519593</v>
      </c>
      <c r="F54" s="5">
        <f>IF(B47=0,0,CUMPRINC(Assumptions!$C$48/12,Assumptions!$C$49*12,B47,37,48,0))</f>
        <v>-197394.44098093951</v>
      </c>
      <c r="G54" s="5">
        <f>IF(B47=0,0,CUMPRINC(Assumptions!$C$48/12,Assumptions!$C$49*12,B47,49,60,0))</f>
        <v>-202891.73325584453</v>
      </c>
      <c r="H54" s="5">
        <f>IF(B47=0,0,CUMPRINC(Assumptions!$C$48/12,Assumptions!$C$49*12,B47,61,72,0))</f>
        <v>-208542.1211407655</v>
      </c>
      <c r="I54" s="5">
        <f>IF(B47=0,0,CUMPRINC(Assumptions!$C$48/12,Assumptions!$C$49*12,B47,73,84,0))</f>
        <v>-214349.86823760567</v>
      </c>
    </row>
    <row r="55" spans="1:9" x14ac:dyDescent="0.25">
      <c r="A55" t="s">
        <v>221</v>
      </c>
      <c r="C55" s="5">
        <f>C52+C53+C54</f>
        <v>160760.07660103095</v>
      </c>
      <c r="D55" s="5">
        <f>D52+D53+D54</f>
        <v>206226.0888546895</v>
      </c>
      <c r="E55" s="5">
        <f>E52+E53+E54</f>
        <v>236211.62920356728</v>
      </c>
      <c r="F55" s="5">
        <f>F52+F53+F54</f>
        <v>245757.47438244746</v>
      </c>
      <c r="G55" s="5">
        <f>G52+G53+G54</f>
        <v>255494.23646490512</v>
      </c>
      <c r="H55" s="5">
        <f>H52+H53+H54</f>
        <v>265425.733789012</v>
      </c>
      <c r="I55" s="5">
        <f>I52+I53+I54</f>
        <v>275555.8610596007</v>
      </c>
    </row>
    <row r="56" spans="1:9" x14ac:dyDescent="0.25">
      <c r="A56" t="s">
        <v>222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  <c r="G56" s="5">
        <f>0</f>
        <v>0</v>
      </c>
      <c r="H56" s="5">
        <f>0</f>
        <v>0</v>
      </c>
      <c r="I56" s="5">
        <f>0</f>
        <v>0</v>
      </c>
    </row>
    <row r="57" spans="1:9" x14ac:dyDescent="0.25">
      <c r="A57" t="s">
        <v>223</v>
      </c>
      <c r="C57" s="5">
        <f>IF(1=MIN(MAX(1,ROUNDUP(vat_months/12,0)),7),-B46,0)</f>
        <v>114471</v>
      </c>
      <c r="D57" s="5">
        <f>IF(2=MIN(MAX(1,ROUNDUP(vat_months/12,0)),7),-B46,0)</f>
        <v>0</v>
      </c>
      <c r="E57" s="5">
        <f>IF(3=MIN(MAX(1,ROUNDUP(vat_months/12,0)),7),-B46,0)</f>
        <v>0</v>
      </c>
      <c r="F57" s="5">
        <f>IF(4=MIN(MAX(1,ROUNDUP(vat_months/12,0)),7),-B46,0)</f>
        <v>0</v>
      </c>
      <c r="G57" s="5">
        <f>IF(5=MIN(MAX(1,ROUNDUP(vat_months/12,0)),7),-B46,0)</f>
        <v>0</v>
      </c>
      <c r="H57" s="5">
        <f>IF(6=MIN(MAX(1,ROUNDUP(vat_months/12,0)),7),-B46,0)</f>
        <v>0</v>
      </c>
      <c r="I57" s="5">
        <f>IF(7=MIN(MAX(1,ROUNDUP(vat_months/12,0)),7),-B46,0)</f>
        <v>0</v>
      </c>
    </row>
    <row r="58" spans="1:9" x14ac:dyDescent="0.25">
      <c r="A58" t="s">
        <v>224</v>
      </c>
      <c r="C58" s="5">
        <f>C55+C56+C57</f>
        <v>275231.07660103095</v>
      </c>
      <c r="D58" s="5">
        <f>C58+D55+D56+D57</f>
        <v>481457.16545572045</v>
      </c>
      <c r="E58" s="5">
        <f>D58+E55+E56+E57</f>
        <v>717668.7946592877</v>
      </c>
      <c r="F58" s="5">
        <f>E58+F55+F56+F57</f>
        <v>963426.2690417351</v>
      </c>
      <c r="G58" s="5">
        <f>F58+G55+G56+G57</f>
        <v>1218920.5055066403</v>
      </c>
      <c r="H58" s="5">
        <f>G58+H55+H56+H57</f>
        <v>1484346.2392956524</v>
      </c>
      <c r="I58" s="5">
        <f>H58+I55+I56+I57</f>
        <v>1759902.100355253</v>
      </c>
    </row>
    <row r="59" spans="1:9" x14ac:dyDescent="0.25">
      <c r="A59" t="s">
        <v>225</v>
      </c>
      <c r="C59" s="7">
        <f>IF((C53+C54)=0,0,-C52/(C53+C54))</f>
        <v>1.5931592271684885</v>
      </c>
      <c r="D59" s="7">
        <f>IF((D53+D54)=0,0,-D52/(D53+D54))</f>
        <v>1.7609159567061514</v>
      </c>
      <c r="E59" s="7">
        <f>IF((E53+E54)=0,0,-E52/(E53+E54))</f>
        <v>1.8715541220742302</v>
      </c>
      <c r="F59" s="7">
        <f>IF((F53+F54)=0,0,-F52/(F53+F54))</f>
        <v>1.9067755916622728</v>
      </c>
      <c r="G59" s="7">
        <f>IF((G53+G54)=0,0,-G52/(G53+G54))</f>
        <v>1.9427014906420759</v>
      </c>
      <c r="H59" s="7">
        <f>IF((H53+H54)=0,0,-H52/(H53+H54))</f>
        <v>1.9793459076014752</v>
      </c>
      <c r="I59" s="7">
        <f>IF((I53+I54)=0,0,-I52/(I53+I54))</f>
        <v>2.016723212900061</v>
      </c>
    </row>
    <row r="61" spans="1:9" x14ac:dyDescent="0.25">
      <c r="A61" t="s">
        <v>26</v>
      </c>
      <c r="C61" s="5">
        <f>IF(1=7,'P&amp;L'!I31/cap,0)</f>
        <v>0</v>
      </c>
      <c r="D61" s="5">
        <f>IF(2=7,'P&amp;L'!I31/cap,0)</f>
        <v>0</v>
      </c>
      <c r="E61" s="5">
        <f>IF(3=7,'P&amp;L'!I31/cap,0)</f>
        <v>0</v>
      </c>
      <c r="F61" s="5">
        <f>IF(4=7,'P&amp;L'!I31/cap,0)</f>
        <v>0</v>
      </c>
      <c r="G61" s="5">
        <f>IF(5=7,'P&amp;L'!I31/cap,0)</f>
        <v>0</v>
      </c>
      <c r="H61" s="5">
        <f>IF(6=7,'P&amp;L'!I31/cap,0)</f>
        <v>0</v>
      </c>
      <c r="I61" s="5">
        <f>IF(7=7,'P&amp;L'!I31/cap,0)</f>
        <v>7808276.268571902</v>
      </c>
    </row>
    <row r="62" spans="1:9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0</v>
      </c>
      <c r="G62" s="5">
        <f>-G61*sell_pct</f>
        <v>0</v>
      </c>
      <c r="H62" s="5">
        <f>-H61*sell_pct</f>
        <v>0</v>
      </c>
      <c r="I62" s="5">
        <f>-I61*sell_pct</f>
        <v>-156165.5253714379</v>
      </c>
    </row>
    <row r="63" spans="1:9" x14ac:dyDescent="0.25">
      <c r="A63" t="s">
        <v>28</v>
      </c>
      <c r="C63" s="5">
        <f>IF(1&lt;7,0,IF(B47=0,0,-(B47+CUMPRINC(Assumptions!$C$48/12,Assumptions!$C$49*12,B47,1,84,0))))</f>
        <v>0</v>
      </c>
      <c r="D63" s="5">
        <f>IF(2&lt;7,0,IF(B47=0,0,-(B47+CUMPRINC(Assumptions!$C$48/12,Assumptions!$C$49*12,B47,1,84,0))))</f>
        <v>0</v>
      </c>
      <c r="E63" s="5">
        <f>IF(3&lt;7,0,IF(B47=0,0,-(B47+CUMPRINC(Assumptions!$C$48/12,Assumptions!$C$49*12,B47,1,84,0))))</f>
        <v>0</v>
      </c>
      <c r="F63" s="5">
        <f>IF(4&lt;7,0,IF(B47=0,0,-(B47+CUMPRINC(Assumptions!$C$48/12,Assumptions!$C$49*12,B47,1,84,0))))</f>
        <v>0</v>
      </c>
      <c r="G63" s="5">
        <f>IF(5&lt;7,0,IF(B47=0,0,-(B47+CUMPRINC(Assumptions!$C$48/12,Assumptions!$C$49*12,B47,1,84,0))))</f>
        <v>0</v>
      </c>
      <c r="H63" s="5">
        <f>IF(6&lt;7,0,IF(B47=0,0,-(B47+CUMPRINC(Assumptions!$C$48/12,Assumptions!$C$49*12,B47,1,84,0))))</f>
        <v>0</v>
      </c>
      <c r="I63" s="5">
        <f>IF(7&lt;7,0,IF(B47=0,0,-(B47+CUMPRINC(Assumptions!$C$48/12,Assumptions!$C$49*12,B47,1,84,0))))</f>
        <v>-1944265.1058010396</v>
      </c>
    </row>
    <row r="64" spans="1:9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0</v>
      </c>
      <c r="G64" s="5">
        <f>G61+G62+G63</f>
        <v>0</v>
      </c>
      <c r="H64" s="5">
        <f>H61+H62+H63</f>
        <v>0</v>
      </c>
      <c r="I64" s="5">
        <f>I61+I62+I63</f>
        <v>5707845.637399425</v>
      </c>
    </row>
    <row r="66" spans="1:9" x14ac:dyDescent="0.25">
      <c r="A66" t="s">
        <v>200</v>
      </c>
      <c r="C66" s="5">
        <f>128608.06128082477</f>
        <v>128608.06128082477</v>
      </c>
      <c r="D66" s="5">
        <f>164980.8710837516</f>
        <v>164980.8710837516</v>
      </c>
      <c r="E66" s="5">
        <f>188969.30336285383</f>
        <v>188969.30336285383</v>
      </c>
      <c r="F66" s="5">
        <f>196605.97950595798</f>
        <v>196605.97950595798</v>
      </c>
      <c r="G66" s="5">
        <f>204395.3891719241</f>
        <v>204395.3891719241</v>
      </c>
      <c r="H66" s="5">
        <f>212340.5870312096</f>
        <v>212340.5870312096</v>
      </c>
      <c r="I66" s="5">
        <f>220444.68884768058</f>
        <v>220444.68884768058</v>
      </c>
    </row>
    <row r="67" spans="1:9" x14ac:dyDescent="0.25">
      <c r="A67" t="s">
        <v>201</v>
      </c>
      <c r="C67" s="5">
        <f>32152.015320206177</f>
        <v>32152.015320206177</v>
      </c>
      <c r="D67" s="5">
        <f>41245.21777093789</f>
        <v>41245.21777093789</v>
      </c>
      <c r="E67" s="5">
        <f>47242.325840713456</f>
        <v>47242.325840713456</v>
      </c>
      <c r="F67" s="5">
        <f>49151.49487648948</f>
        <v>49151.49487648948</v>
      </c>
      <c r="G67" s="5">
        <f>51098.84729298102</f>
        <v>51098.84729298102</v>
      </c>
      <c r="H67" s="5">
        <f>53085.1467578024</f>
        <v>53085.1467578024</v>
      </c>
      <c r="I67" s="5">
        <f>55111.172211920144</f>
        <v>55111.172211920144</v>
      </c>
    </row>
    <row r="68" spans="1:9" x14ac:dyDescent="0.25">
      <c r="A68" t="s">
        <v>226</v>
      </c>
      <c r="C68" s="5">
        <f>IF(1=7,4346141.485852914,0)</f>
        <v>0</v>
      </c>
      <c r="D68" s="5">
        <f>IF(2=7,4346141.485852914,0)</f>
        <v>0</v>
      </c>
      <c r="E68" s="5">
        <f>IF(3=7,4346141.485852914,0)</f>
        <v>0</v>
      </c>
      <c r="F68" s="5">
        <f>IF(4=7,4346141.485852914,0)</f>
        <v>0</v>
      </c>
      <c r="G68" s="5">
        <f>IF(5=7,4346141.485852914,0)</f>
        <v>0</v>
      </c>
      <c r="H68" s="5">
        <f>IF(6=7,4346141.485852914,0)</f>
        <v>0</v>
      </c>
      <c r="I68" s="5">
        <f>IF(7=7,4346141.485852914,0)</f>
        <v>4346141.485852914</v>
      </c>
    </row>
    <row r="69" spans="1:9" x14ac:dyDescent="0.25">
      <c r="A69" t="s">
        <v>227</v>
      </c>
      <c r="C69" s="5">
        <f>IF(1=7,1361704.1515465109,0)</f>
        <v>0</v>
      </c>
      <c r="D69" s="5">
        <f>IF(2=7,1361704.1515465109,0)</f>
        <v>0</v>
      </c>
      <c r="E69" s="5">
        <f>IF(3=7,1361704.1515465109,0)</f>
        <v>0</v>
      </c>
      <c r="F69" s="5">
        <f>IF(4=7,1361704.1515465109,0)</f>
        <v>0</v>
      </c>
      <c r="G69" s="5">
        <f>IF(5=7,1361704.1515465109,0)</f>
        <v>0</v>
      </c>
      <c r="H69" s="5">
        <f>IF(6=7,1361704.1515465109,0)</f>
        <v>0</v>
      </c>
      <c r="I69" s="5">
        <f>IF(7=7,1361704.1515465109,0)</f>
        <v>1361704.1515465109</v>
      </c>
    </row>
    <row r="70" spans="1:9" x14ac:dyDescent="0.25">
      <c r="A70" t="s">
        <v>228</v>
      </c>
      <c r="C70" s="5">
        <f>(C56+C57)*(1-gp_pct)</f>
        <v>91576.8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  <c r="G70" s="5">
        <f>(G56+G57)*(1-gp_pct)</f>
        <v>0</v>
      </c>
      <c r="H70" s="5">
        <f>(H56+H57)*(1-gp_pct)</f>
        <v>0</v>
      </c>
      <c r="I70" s="5">
        <f>(I56+I57)*(1-gp_pct)</f>
        <v>0</v>
      </c>
    </row>
    <row r="71" spans="1:9" x14ac:dyDescent="0.25">
      <c r="A71" t="s">
        <v>229</v>
      </c>
      <c r="C71" s="5">
        <f>(C56+C57)*gp_pct</f>
        <v>22894.199999999993</v>
      </c>
      <c r="D71" s="5">
        <f>(D56+D57)*gp_pct</f>
        <v>0</v>
      </c>
      <c r="E71" s="5">
        <f>(E56+E57)*gp_pct</f>
        <v>0</v>
      </c>
      <c r="F71" s="5">
        <f>(F56+F57)*gp_pct</f>
        <v>0</v>
      </c>
      <c r="G71" s="5">
        <f>(G56+G57)*gp_pct</f>
        <v>0</v>
      </c>
      <c r="H71" s="5">
        <f>(H56+H57)*gp_pct</f>
        <v>0</v>
      </c>
      <c r="I71" s="5">
        <f>(I56+I57)*gp_pct</f>
        <v>0</v>
      </c>
    </row>
    <row r="72" spans="1:9" x14ac:dyDescent="0.25">
      <c r="A72" s="3" t="s">
        <v>230</v>
      </c>
      <c r="C72" s="5">
        <f>SUM(C66:C71)</f>
        <v>275231.07660103095</v>
      </c>
      <c r="D72" s="5">
        <f>SUM(D66:D71)</f>
        <v>206226.0888546895</v>
      </c>
      <c r="E72" s="5">
        <f>SUM(E66:E71)</f>
        <v>236211.62920356728</v>
      </c>
      <c r="F72" s="5">
        <f>SUM(F66:F71)</f>
        <v>245757.47438244746</v>
      </c>
      <c r="G72" s="5">
        <f>SUM(G66:G71)</f>
        <v>255494.23646490512</v>
      </c>
      <c r="H72" s="5">
        <f>SUM(H66:H71)</f>
        <v>265425.733789012</v>
      </c>
      <c r="I72" s="5">
        <f>SUM(I66:I71)</f>
        <v>5983401.498459025</v>
      </c>
    </row>
    <row r="74" spans="1:9" x14ac:dyDescent="0.25">
      <c r="A74" t="s">
        <v>231</v>
      </c>
      <c r="C74" s="5">
        <f>C55+C56+C57+C64</f>
        <v>275231.07660103095</v>
      </c>
      <c r="D74" s="5">
        <f>D55+D56+D57+D64</f>
        <v>206226.0888546895</v>
      </c>
      <c r="E74" s="5">
        <f>E55+E56+E57+E64</f>
        <v>236211.62920356728</v>
      </c>
      <c r="F74" s="5">
        <f>F55+F56+F57+F64</f>
        <v>245757.47438244746</v>
      </c>
      <c r="G74" s="5">
        <f>G55+G56+G57+G64</f>
        <v>255494.23646490512</v>
      </c>
      <c r="H74" s="5">
        <f>H55+H56+H57+H64</f>
        <v>265425.733789012</v>
      </c>
      <c r="I74" s="5">
        <f>I55+I56+I57+I64</f>
        <v>5983401.498459025</v>
      </c>
    </row>
    <row r="75" spans="1:9" x14ac:dyDescent="0.25">
      <c r="A75" t="s">
        <v>232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  <c r="G75" s="5">
        <f>G74-G72</f>
        <v>0</v>
      </c>
      <c r="H75" s="5">
        <f>H74-H72</f>
        <v>0</v>
      </c>
      <c r="I75" s="5">
        <f>I74-I72</f>
        <v>0</v>
      </c>
    </row>
    <row r="77" spans="1:9" x14ac:dyDescent="0.25">
      <c r="A77" t="s">
        <v>233</v>
      </c>
      <c r="B77" s="5">
        <f>-B48</f>
        <v>-2812487.636734694</v>
      </c>
      <c r="C77" s="5">
        <f>C66+C68+C70</f>
        <v>220184.86128082476</v>
      </c>
      <c r="D77" s="5">
        <f>D66+D68+D70</f>
        <v>164980.8710837516</v>
      </c>
      <c r="E77" s="5">
        <f>E66+E68+E70</f>
        <v>188969.30336285383</v>
      </c>
      <c r="F77" s="5">
        <f>F66+F68+F70</f>
        <v>196605.97950595798</v>
      </c>
      <c r="G77" s="5">
        <f>G66+G68+G70</f>
        <v>204395.3891719241</v>
      </c>
      <c r="H77" s="5">
        <f>H66+H68+H70</f>
        <v>212340.5870312096</v>
      </c>
      <c r="I77" s="5">
        <f>I66+I68+I70</f>
        <v>4566586.1747005945</v>
      </c>
    </row>
    <row r="78" spans="1:9" x14ac:dyDescent="0.25">
      <c r="A78" t="s">
        <v>234</v>
      </c>
      <c r="B78" s="5">
        <f>B77</f>
        <v>-2812487.636734694</v>
      </c>
      <c r="C78" s="5">
        <f>B78+C77</f>
        <v>-2592302.7754538693</v>
      </c>
      <c r="D78" s="5">
        <f>C78+D77</f>
        <v>-2427321.9043701175</v>
      </c>
      <c r="E78" s="5">
        <f>D78+E77</f>
        <v>-2238352.6010072636</v>
      </c>
      <c r="F78" s="5">
        <f>E78+F77</f>
        <v>-2041746.6215013056</v>
      </c>
      <c r="G78" s="5">
        <f>F78+G77</f>
        <v>-1837351.2323293816</v>
      </c>
      <c r="H78" s="5">
        <f>G78+H77</f>
        <v>-1625010.645298172</v>
      </c>
      <c r="I78" s="5">
        <f>H78+I77</f>
        <v>2941575.5294024227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236</v>
      </c>
    </row>
    <row r="3" spans="1:7" x14ac:dyDescent="0.25">
      <c r="A3" s="3" t="s">
        <v>237</v>
      </c>
      <c r="B3" s="3" t="s">
        <v>13</v>
      </c>
      <c r="C3" s="3" t="s">
        <v>19</v>
      </c>
      <c r="D3" s="3" t="s">
        <v>31</v>
      </c>
      <c r="E3" s="3" t="s">
        <v>211</v>
      </c>
      <c r="F3" s="3" t="s">
        <v>225</v>
      </c>
      <c r="G3" s="3" t="s">
        <v>238</v>
      </c>
    </row>
    <row r="4" spans="1:7" x14ac:dyDescent="0.25">
      <c r="A4" t="s">
        <v>81</v>
      </c>
      <c r="B4" s="5">
        <v>0</v>
      </c>
      <c r="C4" s="5">
        <v>5271192</v>
      </c>
      <c r="D4" s="6">
        <v>0.09162617994733899</v>
      </c>
      <c r="E4" s="7">
        <v>1.6833067513441609</v>
      </c>
      <c r="F4" s="7"/>
      <c r="G4" t="s">
        <v>239</v>
      </c>
    </row>
    <row r="5" spans="1:7" x14ac:dyDescent="0.25">
      <c r="A5" t="s">
        <v>12</v>
      </c>
      <c r="B5" s="5">
        <v>3328112</v>
      </c>
      <c r="C5" s="5">
        <v>2720911</v>
      </c>
      <c r="D5" s="6">
        <v>0.12497709252566416</v>
      </c>
      <c r="E5" s="7">
        <v>2.0810995677214263</v>
      </c>
      <c r="F5" s="7">
        <v>1.8715541220742304</v>
      </c>
      <c r="G5" t="s">
        <v>240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2026-09-21T00:21:46Z</dcterms:created>
  <dcterms:modified xsi:type="dcterms:W3CDTF">2026-09-21T00:21:46Z</dcterms:modified>
</cp:coreProperties>
</file>