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Mix'!$B$27</definedName>
    <definedName name="blended_incl">'Unit Mix'!$B$28</definedName>
    <definedName name="clean_base">'Unit Mix'!$B$29</definedName>
    <definedName name="anc_units">'Unit Mix'!$B$30</definedName>
    <definedName name="mtr_n">'Unit Mix'!$B$31</definedName>
    <definedName name="cost_unit_n">'Unit Mix'!$B$32</definedName>
    <definedName name="mtr_rent_a">'Unit Mix'!$B$33</definedName>
    <definedName name="turn_base">'Unit Mix'!$B$34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<sst xmlns="http://schemas.openxmlformats.org/spreadsheetml/2006/main" count="411" uniqueCount="243">
  <si>
    <t>Vegueta 27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</si>
  <si>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</si>
  <si>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</si>
  <si>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</si>
  <si>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</si>
  <si>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</si>
  <si>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</si>
  <si>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</si>
  <si>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</si>
  <si>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</si>
  <si>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</si>
  <si>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</si>
  <si>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55%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</si>
  <si>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</si>
  <si>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</si>
  <si>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</si>
  <si>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</si>
  <si>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</si>
  <si>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</si>
  <si>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</si>
  <si>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</si>
  <si>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</si>
  <si>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</si>
  <si>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</si>
  <si>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</si>
  <si>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</si>
  <si>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</si>
  <si>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</si>
  <si>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</si>
  <si>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</si>
  <si>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</si>
  <si>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</si>
  <si>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</si>
  <si>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</si>
  <si>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</si>
  <si>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</si>
  <si>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</si>
  <si>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</si>
  <si>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</si>
  <si>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</si>
  <si>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</si>
  <si>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</si>
  <si>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</si>
  <si>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</si>
  <si>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</si>
  <si>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</si>
  <si>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</si>
  <si>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</si>
  <si>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</si>
  <si>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</si>
  <si>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</si>
  <si>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</si>
  <si>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</si>
  <si>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</si>
  <si>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</si>
  <si>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</si>
  <si>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</si>
  <si>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</si>
  <si>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</si>
  <si>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</si>
  <si>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</si>
  <si>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</si>
  <si>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</si>
  <si>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</si>
  <si>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</si>
  <si>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</si>
  <si>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</si>
  <si>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</si>
  <si>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</si>
  <si>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</si>
  <si>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</si>
  <si>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</si>
  <si>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</si>
  <si>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</si>
  <si>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</si>
  <si>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</si>
  <si>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</si>
  <si>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</si>
  <si>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</si>
  <si>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</si>
  <si>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</si>
  <si>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</si>
  <si>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55%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</si>
  <si>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</si>
  <si>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</si>
  <si>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</si>
  <si>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</si>
  <si>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</si>
  <si>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</si>
  <si>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</si>
  <si>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</si>
  <si>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</si>
  <si>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</si>
  <si>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</si>
  <si>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</si>
  <si>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</si>
  <si>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</si>
  <si>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</si>
  <si>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</si>
  <si>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</si>
  <si>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</si>
  <si>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</si>
  <si>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</si>
  <si>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</si>
  <si>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</si>
  <si>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</si>
  <si>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aparthotel</t>
  </si>
  <si>
    <t>STR</t>
  </si>
  <si>
    <t>1-bed · aparthotel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</si>
  <si>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</si>
  <si>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</si>
  <si>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</si>
  <si>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</si>
  <si>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</si>
  <si>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</si>
  <si>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</si>
  <si>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</si>
  <si>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</si>
  <si>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</si>
  <si>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</si>
  <si>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</si>
  <si>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</si>
  <si>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</si>
  <si>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</si>
  <si>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</si>
  <si>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</si>
  <si>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</si>
  <si>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</si>
  <si>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</si>
  <si>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</si>
  <si>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</si>
  <si>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</si>
  <si>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</si>
  <si>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</si>
  <si>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</si>
  <si>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</si>
  <si>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</si>
  <si>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</si>
  <si>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</si>
  <si>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</si>
  <si>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</si>
  <si>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</si>
  <si>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</si>
  <si>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</si>
  <si>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</si>
  <si>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</si>
  <si>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</si>
  <si>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</si>
  <si>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</si>
  <si>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</si>
  <si>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</si>
  <si>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</si>
  <si>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</si>
  <si>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</si>
  <si>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</si>
  <si>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</si>
  <si>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</si>
  <si>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</si>
  <si>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</si>
  <si>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</si>
  <si>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</si>
  <si>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</si>
  <si>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</si>
  <si>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</si>
  <si>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</si>
  <si>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</si>
  <si>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</si>
  <si>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</si>
  <si>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</si>
  <si>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</si>
  <si>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</si>
  <si>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</si>
  <si>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</si>
  <si>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</si>
  <si>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</si>
  <si>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</si>
  <si>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</si>
  <si>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</si>
  <si>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</si>
  <si>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</si>
  <si>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</si>
  <si>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</si>
  <si>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</si>
  <si>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</si>
  <si>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</si>
  <si>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</si>
  <si>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</si>
  <si>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</si>
  <si>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</si>
  <si>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</si>
  <si>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</si>
  <si>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</si>
  <si>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</si>
  <si>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</si>
  <si>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</si>
  <si>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</si>
  <si>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</si>
  <si>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</si>
  <si>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</si>
  <si>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</si>
  <si>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</si>
  <si>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</si>
  <si>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</si>
  <si>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</si>
  <si>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</si>
  <si>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</si>
  <si>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</si>
  <si>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</si>
  <si>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</si>
  <si>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</si>
  <si>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</si>
  <si>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</si>
  <si>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</si>
  <si>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</si>
  <si>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</si>
  <si>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</si>
  <si>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</si>
  <si>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</si>
  <si>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</si>
  <si>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</si>
  <si>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</si>
  <si>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</si>
  <si>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</si>
  <si>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</si>
  <si>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</si>
  <si>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</si>
  <si>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</si>
  <si>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</si>
  <si>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</si>
  <si>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</si>
  <si>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</si>
  <si>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</si>
  <si>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</si>
  <si>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</si>
  <si>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</si>
  <si>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</si>
  <si>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55%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</si>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</sst>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24</v>
      </c>
    </row>
    <row r="7" spans="1:2" x14ac:dyDescent="0.25">
      <c r="A7" t="s">
        <v>5</v>
      </c>
      <c r="B7" s="5">
        <f>price</f>
        <v>3900000</v>
      </c>
    </row>
    <row r="8" spans="1:2" x14ac:dyDescent="0.25">
      <c r="A8" t="s">
        <v>6</v>
      </c>
      <c r="B8" s="5">
        <f>tpc</f>
        <v>4849030.6122448975</v>
      </c>
    </row>
    <row r="9" spans="1:2" x14ac:dyDescent="0.25">
      <c r="A9" t="s">
        <v>7</v>
      </c>
      <c r="B9" s="5">
        <f>IF(units_c=0,0,tpc/units_c)</f>
        <v>202042.94217687074</v>
      </c>
    </row>
    <row r="10" spans="1:2" x14ac:dyDescent="0.25">
      <c r="A10" t="s">
        <v>8</v>
      </c>
      <c r="B10" s="5">
        <f>'P&amp;L'!E31</f>
        <v>410144.8519999995</v>
      </c>
    </row>
    <row r="11" spans="1:2" x14ac:dyDescent="0.25">
      <c r="A11" t="s">
        <v>9</v>
      </c>
      <c r="B11" s="6">
        <f>IF(tpc=0,0,B10/tpc)</f>
        <v>0.08458285475952473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2666966.836734694</v>
      </c>
    </row>
    <row r="16" spans="1:2" x14ac:dyDescent="0.25">
      <c r="A16" t="s">
        <v>14</v>
      </c>
      <c r="B16" s="6">
        <f>IF(tpc=0,0,B15/tpc)</f>
        <v>0.55</v>
      </c>
    </row>
    <row r="17" spans="1:2" x14ac:dyDescent="0.25">
      <c r="A17" t="s">
        <v>15</v>
      </c>
      <c r="B17" s="5">
        <f>Waterfall!B4</f>
        <v>61672.82015306123</v>
      </c>
    </row>
    <row r="18" spans="1:2" x14ac:dyDescent="0.25">
      <c r="A18" t="s">
        <v>16</v>
      </c>
      <c r="B18" s="5">
        <f>eq_total</f>
        <v>2243736.595663265</v>
      </c>
    </row>
    <row r="19" spans="1:2" x14ac:dyDescent="0.25">
      <c r="A19" t="s">
        <v>17</v>
      </c>
      <c r="B19" s="5">
        <f>vat_float</f>
        <v>123648</v>
      </c>
    </row>
    <row r="20" spans="1:2" x14ac:dyDescent="0.25">
      <c r="A20" t="s">
        <v>18</v>
      </c>
      <c r="B20" s="5">
        <f>eq_total+vat_float</f>
        <v>2367384.595663265</v>
      </c>
    </row>
    <row r="21" spans="1:2" x14ac:dyDescent="0.25">
      <c r="A21" t="s">
        <v>19</v>
      </c>
      <c r="B21" s="5">
        <f>eq_lp</f>
        <v>1794989.276530612</v>
      </c>
    </row>
    <row r="22" spans="1:2" x14ac:dyDescent="0.25">
      <c r="A22" t="s">
        <v>20</v>
      </c>
      <c r="B22" s="5">
        <f>eq_gp</f>
        <v>448747.319132653</v>
      </c>
    </row>
    <row r="23" spans="1:2" x14ac:dyDescent="0.25">
      <c r="A23" t="s">
        <v>21</v>
      </c>
      <c r="B23" s="5">
        <f>Waterfall!B8</f>
        <v>217183.36820469773</v>
      </c>
    </row>
    <row r="24" spans="1:2" x14ac:dyDescent="0.25">
      <c r="A24" t="s">
        <v>22</v>
      </c>
      <c r="B24" s="7">
        <f>IF(Waterfall!B8=0,0,B10/Waterfall!B8)</f>
        <v>1.8884726551134128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6290345.618609482</v>
      </c>
    </row>
    <row r="30" spans="1:2" x14ac:dyDescent="0.25">
      <c r="A30" t="s">
        <v>27</v>
      </c>
      <c r="B30" s="5">
        <f>Waterfall!B27</f>
        <v>-125806.91237218965</v>
      </c>
    </row>
    <row r="31" spans="1:2" x14ac:dyDescent="0.25">
      <c r="A31" t="s">
        <v>28</v>
      </c>
      <c r="B31" s="5">
        <f>Waterfall!B28</f>
        <v>1558027.5475807525</v>
      </c>
    </row>
    <row r="32" spans="1:2" x14ac:dyDescent="0.25">
      <c r="A32" t="s">
        <v>29</v>
      </c>
      <c r="B32" s="5">
        <f>Waterfall!B29</f>
        <v>4606511.15865654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0.15600899733899357</v>
      </c>
    </row>
    <row r="36" spans="1:2" x14ac:dyDescent="0.25">
      <c r="A36" t="s">
        <v>32</v>
      </c>
      <c r="B36" s="7">
        <f>Waterfall!B38</f>
        <v>2.436984550937282</v>
      </c>
    </row>
    <row r="37" spans="1:2" x14ac:dyDescent="0.25">
      <c r="A37" t="s">
        <v>33</v>
      </c>
      <c r="B37" s="5">
        <f>Waterfall!B37</f>
        <v>4374361.13600319</v>
      </c>
    </row>
    <row r="38" spans="1:2" x14ac:dyDescent="0.25">
      <c r="A38" t="s">
        <v>34</v>
      </c>
      <c r="B38" s="6">
        <f>IF(eq_lp=0,0,AVERAGE(Waterfall!C22:I22)/eq_lp)</f>
        <v>0.08510621873418507</v>
      </c>
    </row>
    <row r="39" spans="1:2" x14ac:dyDescent="0.25">
      <c r="A39" t="s">
        <v>35</v>
      </c>
      <c r="B39" s="6">
        <f>IRR('Cash Flow'!B77:'Cash Flow'!I77)</f>
        <v>0.1545746530558049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1568841.5851002454</v>
      </c>
    </row>
    <row r="43" spans="1:2" x14ac:dyDescent="0.25">
      <c r="A43" t="s">
        <v>38</v>
      </c>
      <c r="B43" s="7">
        <f>IF(eq_gp=0,0,B42/eq_gp)</f>
        <v>3.4960467020338553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1.5</v>
      </c>
    </row>
    <row r="21" spans="1:2" x14ac:dyDescent="0.25">
      <c r="A21" t="s">
        <v>57</v>
      </c>
      <c r="B21" s="11">
        <v>12.5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7800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112</v>
      </c>
      <c r="D2" s="8">
        <v>0.8</v>
      </c>
      <c r="E2" s="11">
        <v>25</v>
      </c>
      <c r="F2" s="11">
        <v>0</v>
      </c>
    </row>
    <row r="3" spans="1:6" x14ac:dyDescent="0.25">
      <c r="A3" t="s">
        <v>106</v>
      </c>
      <c r="B3" t="s">
        <v>107</v>
      </c>
      <c r="C3" s="11">
        <v>112</v>
      </c>
      <c r="D3" s="8">
        <v>0.8</v>
      </c>
      <c r="E3" s="11">
        <v>25</v>
      </c>
      <c r="F3" s="11">
        <v>0</v>
      </c>
    </row>
    <row r="4" spans="1:6" x14ac:dyDescent="0.25">
      <c r="A4" t="s">
        <v>106</v>
      </c>
      <c r="B4" t="s">
        <v>107</v>
      </c>
      <c r="C4" s="11">
        <v>112</v>
      </c>
      <c r="D4" s="8">
        <v>0.8</v>
      </c>
      <c r="E4" s="11">
        <v>25</v>
      </c>
      <c r="F4" s="11">
        <v>0</v>
      </c>
    </row>
    <row r="5" spans="1:6" x14ac:dyDescent="0.25">
      <c r="A5" t="s">
        <v>106</v>
      </c>
      <c r="B5" t="s">
        <v>107</v>
      </c>
      <c r="C5" s="11">
        <v>112</v>
      </c>
      <c r="D5" s="8">
        <v>0.8</v>
      </c>
      <c r="E5" s="11">
        <v>25</v>
      </c>
      <c r="F5" s="11">
        <v>0</v>
      </c>
    </row>
    <row r="6" spans="1:6" x14ac:dyDescent="0.25">
      <c r="A6" t="s">
        <v>106</v>
      </c>
      <c r="B6" t="s">
        <v>107</v>
      </c>
      <c r="C6" s="11">
        <v>112</v>
      </c>
      <c r="D6" s="8">
        <v>0.8</v>
      </c>
      <c r="E6" s="11">
        <v>25</v>
      </c>
      <c r="F6" s="11">
        <v>0</v>
      </c>
    </row>
    <row r="7" spans="1:6" x14ac:dyDescent="0.25">
      <c r="A7" t="s">
        <v>106</v>
      </c>
      <c r="B7" t="s">
        <v>107</v>
      </c>
      <c r="C7" s="11">
        <v>112</v>
      </c>
      <c r="D7" s="8">
        <v>0.8</v>
      </c>
      <c r="E7" s="11">
        <v>25</v>
      </c>
      <c r="F7" s="11">
        <v>0</v>
      </c>
    </row>
    <row r="8" spans="1:6" x14ac:dyDescent="0.25">
      <c r="A8" t="s">
        <v>106</v>
      </c>
      <c r="B8" t="s">
        <v>107</v>
      </c>
      <c r="C8" s="11">
        <v>112</v>
      </c>
      <c r="D8" s="8">
        <v>0.8</v>
      </c>
      <c r="E8" s="11">
        <v>25</v>
      </c>
      <c r="F8" s="11">
        <v>0</v>
      </c>
    </row>
    <row r="9" spans="1:6" x14ac:dyDescent="0.25">
      <c r="A9" t="s">
        <v>106</v>
      </c>
      <c r="B9" t="s">
        <v>107</v>
      </c>
      <c r="C9" s="11">
        <v>112</v>
      </c>
      <c r="D9" s="8">
        <v>0.8</v>
      </c>
      <c r="E9" s="11">
        <v>25</v>
      </c>
      <c r="F9" s="11">
        <v>0</v>
      </c>
    </row>
    <row r="10" spans="1:6" x14ac:dyDescent="0.25">
      <c r="A10" t="s">
        <v>106</v>
      </c>
      <c r="B10" t="s">
        <v>107</v>
      </c>
      <c r="C10" s="11">
        <v>112</v>
      </c>
      <c r="D10" s="8">
        <v>0.8</v>
      </c>
      <c r="E10" s="11">
        <v>25</v>
      </c>
      <c r="F10" s="11">
        <v>0</v>
      </c>
    </row>
    <row r="11" spans="1:6" x14ac:dyDescent="0.25">
      <c r="A11" t="s">
        <v>106</v>
      </c>
      <c r="B11" t="s">
        <v>107</v>
      </c>
      <c r="C11" s="11">
        <v>112</v>
      </c>
      <c r="D11" s="8">
        <v>0.8</v>
      </c>
      <c r="E11" s="11">
        <v>25</v>
      </c>
      <c r="F11" s="11">
        <v>0</v>
      </c>
    </row>
    <row r="12" spans="1:6" x14ac:dyDescent="0.25">
      <c r="A12" t="s">
        <v>106</v>
      </c>
      <c r="B12" t="s">
        <v>107</v>
      </c>
      <c r="C12" s="11">
        <v>112</v>
      </c>
      <c r="D12" s="8">
        <v>0.8</v>
      </c>
      <c r="E12" s="11">
        <v>25</v>
      </c>
      <c r="F12" s="11">
        <v>0</v>
      </c>
    </row>
    <row r="13" spans="1:6" x14ac:dyDescent="0.25">
      <c r="A13" t="s">
        <v>106</v>
      </c>
      <c r="B13" t="s">
        <v>107</v>
      </c>
      <c r="C13" s="11">
        <v>112</v>
      </c>
      <c r="D13" s="8">
        <v>0.8</v>
      </c>
      <c r="E13" s="11">
        <v>25</v>
      </c>
      <c r="F13" s="11">
        <v>0</v>
      </c>
    </row>
    <row r="14" spans="1:6" x14ac:dyDescent="0.25">
      <c r="A14" t="s">
        <v>106</v>
      </c>
      <c r="B14" t="s">
        <v>107</v>
      </c>
      <c r="C14" s="11">
        <v>112</v>
      </c>
      <c r="D14" s="8">
        <v>0.8</v>
      </c>
      <c r="E14" s="11">
        <v>25</v>
      </c>
      <c r="F14" s="11">
        <v>0</v>
      </c>
    </row>
    <row r="15" spans="1:6" x14ac:dyDescent="0.25">
      <c r="A15" t="s">
        <v>106</v>
      </c>
      <c r="B15" t="s">
        <v>107</v>
      </c>
      <c r="C15" s="11">
        <v>112</v>
      </c>
      <c r="D15" s="8">
        <v>0.8</v>
      </c>
      <c r="E15" s="11">
        <v>25</v>
      </c>
      <c r="F15" s="11">
        <v>0</v>
      </c>
    </row>
    <row r="16" spans="1:6" x14ac:dyDescent="0.25">
      <c r="A16" t="s">
        <v>108</v>
      </c>
      <c r="B16" t="s">
        <v>107</v>
      </c>
      <c r="C16" s="11">
        <v>142</v>
      </c>
      <c r="D16" s="8">
        <v>0.8</v>
      </c>
      <c r="E16" s="11">
        <v>30</v>
      </c>
      <c r="F16" s="11">
        <v>0</v>
      </c>
    </row>
    <row r="17" spans="1:6" x14ac:dyDescent="0.25">
      <c r="A17" t="s">
        <v>108</v>
      </c>
      <c r="B17" t="s">
        <v>107</v>
      </c>
      <c r="C17" s="11">
        <v>142</v>
      </c>
      <c r="D17" s="8">
        <v>0.8</v>
      </c>
      <c r="E17" s="11">
        <v>30</v>
      </c>
      <c r="F17" s="11">
        <v>0</v>
      </c>
    </row>
    <row r="18" spans="1:6" x14ac:dyDescent="0.25">
      <c r="A18" t="s">
        <v>108</v>
      </c>
      <c r="B18" t="s">
        <v>107</v>
      </c>
      <c r="C18" s="11">
        <v>142</v>
      </c>
      <c r="D18" s="8">
        <v>0.8</v>
      </c>
      <c r="E18" s="11">
        <v>30</v>
      </c>
      <c r="F18" s="11">
        <v>0</v>
      </c>
    </row>
    <row r="19" spans="1:6" x14ac:dyDescent="0.25">
      <c r="A19" t="s">
        <v>108</v>
      </c>
      <c r="B19" t="s">
        <v>107</v>
      </c>
      <c r="C19" s="11">
        <v>142</v>
      </c>
      <c r="D19" s="8">
        <v>0.8</v>
      </c>
      <c r="E19" s="11">
        <v>30</v>
      </c>
      <c r="F19" s="11">
        <v>0</v>
      </c>
    </row>
    <row r="20" spans="1:6" x14ac:dyDescent="0.25">
      <c r="A20" t="s">
        <v>108</v>
      </c>
      <c r="B20" t="s">
        <v>107</v>
      </c>
      <c r="C20" s="11">
        <v>142</v>
      </c>
      <c r="D20" s="8">
        <v>0.8</v>
      </c>
      <c r="E20" s="11">
        <v>30</v>
      </c>
      <c r="F20" s="11">
        <v>0</v>
      </c>
    </row>
    <row r="21" spans="1:6" x14ac:dyDescent="0.25">
      <c r="A21" t="s">
        <v>108</v>
      </c>
      <c r="B21" t="s">
        <v>107</v>
      </c>
      <c r="C21" s="11">
        <v>142</v>
      </c>
      <c r="D21" s="8">
        <v>0.8</v>
      </c>
      <c r="E21" s="11">
        <v>30</v>
      </c>
      <c r="F21" s="11">
        <v>0</v>
      </c>
    </row>
    <row r="22" spans="1:6" x14ac:dyDescent="0.25">
      <c r="A22" t="s">
        <v>108</v>
      </c>
      <c r="B22" t="s">
        <v>107</v>
      </c>
      <c r="C22" s="11">
        <v>142</v>
      </c>
      <c r="D22" s="8">
        <v>0.8</v>
      </c>
      <c r="E22" s="11">
        <v>30</v>
      </c>
      <c r="F22" s="11">
        <v>0</v>
      </c>
    </row>
    <row r="23" spans="1:6" x14ac:dyDescent="0.25">
      <c r="A23" t="s">
        <v>108</v>
      </c>
      <c r="B23" t="s">
        <v>107</v>
      </c>
      <c r="C23" s="11">
        <v>142</v>
      </c>
      <c r="D23" s="8">
        <v>0.8</v>
      </c>
      <c r="E23" s="11">
        <v>30</v>
      </c>
      <c r="F23" s="11">
        <v>0</v>
      </c>
    </row>
    <row r="24" spans="1:6" x14ac:dyDescent="0.25">
      <c r="A24" t="s">
        <v>108</v>
      </c>
      <c r="B24" t="s">
        <v>107</v>
      </c>
      <c r="C24" s="11">
        <v>142</v>
      </c>
      <c r="D24" s="8">
        <v>0.8</v>
      </c>
      <c r="E24" s="11">
        <v>30</v>
      </c>
      <c r="F24" s="11">
        <v>0</v>
      </c>
    </row>
    <row r="25" spans="1:6" x14ac:dyDescent="0.25">
      <c r="A25" t="s">
        <v>108</v>
      </c>
      <c r="B25" t="s">
        <v>107</v>
      </c>
      <c r="C25" s="11">
        <v>142</v>
      </c>
      <c r="D25" s="8">
        <v>0.8</v>
      </c>
      <c r="E25" s="11">
        <v>30</v>
      </c>
      <c r="F25" s="11">
        <v>0</v>
      </c>
    </row>
    <row r="27" spans="1:2" x14ac:dyDescent="0.25">
      <c r="A27" t="s">
        <v>109</v>
      </c>
      <c r="B27" s="4">
        <f>COUNTIF(B2:B25,"STR")</f>
        <v>24</v>
      </c>
    </row>
    <row r="28" spans="1:2" x14ac:dyDescent="0.25">
      <c r="A28" t="s">
        <v>110</v>
      </c>
      <c r="B28" s="5">
        <f>SUMPRODUCT(C2:C25,D2:D25,--(B2:B25="STR"))/SUMPRODUCT(D2:D25,--(B2:B25="STR"))</f>
        <v>124.49999999999991</v>
      </c>
    </row>
    <row r="29" spans="1:2" x14ac:dyDescent="0.25">
      <c r="A29" t="s">
        <v>111</v>
      </c>
      <c r="B29" s="5">
        <f>SUMPRODUCT(365*D2:D25/alos,E2:E25/(1+iva),--(B2:B25="STR"))</f>
        <v>69018.18181818181</v>
      </c>
    </row>
    <row r="30" spans="1:2" x14ac:dyDescent="0.25">
      <c r="A30" t="s">
        <v>112</v>
      </c>
      <c r="B30" s="5">
        <f>SUMPRODUCT(F2:F25,--(B2:B25&lt;&gt;"STR"),--(B2:B25&lt;&gt;"MTR"))*12</f>
        <v>0</v>
      </c>
    </row>
    <row r="31" spans="1:2" x14ac:dyDescent="0.25">
      <c r="A31" t="s">
        <v>113</v>
      </c>
      <c r="B31" s="4">
        <f>COUNTIF(B2:B25,"MTR")</f>
        <v>0</v>
      </c>
    </row>
    <row r="32" spans="1:2" x14ac:dyDescent="0.25">
      <c r="A32" t="s">
        <v>114</v>
      </c>
      <c r="B32" s="4">
        <f>unit_n+mtr_n</f>
        <v>24</v>
      </c>
    </row>
    <row r="33" spans="1:2" x14ac:dyDescent="0.25">
      <c r="A33" t="s">
        <v>115</v>
      </c>
      <c r="B33" s="5">
        <f>SUMPRODUCT(F2:F25,--(B2:B25="MTR"))*12</f>
        <v>0</v>
      </c>
    </row>
    <row r="34" spans="1:2" x14ac:dyDescent="0.25">
      <c r="A34" t="s">
        <v>116</v>
      </c>
      <c r="B34" s="12">
        <f>SUMPRODUCT(D2:D25,--(B2:B25="STR"))*365/alos</f>
        <v>2803.2000000000007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3900000</v>
      </c>
    </row>
    <row r="3" spans="1:2" x14ac:dyDescent="0.25">
      <c r="A3" t="s">
        <v>118</v>
      </c>
      <c r="B3" s="9">
        <v>24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80000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8833.333333333334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36000</v>
      </c>
    </row>
    <row r="20" spans="1:2" x14ac:dyDescent="0.25">
      <c r="A20" t="s">
        <v>135</v>
      </c>
      <c r="B20" s="11">
        <v>34000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408450</v>
      </c>
    </row>
    <row r="24" spans="1:2" x14ac:dyDescent="0.25">
      <c r="A24" t="s">
        <v>138</v>
      </c>
      <c r="B24" s="5">
        <f>(reno_u*(units_c-1)+appl_u*units_c+common_f+deep_f)*(1+conting_pct)</f>
        <v>128000</v>
      </c>
    </row>
    <row r="25" spans="1:2" x14ac:dyDescent="0.25">
      <c r="A25" t="s">
        <v>139</v>
      </c>
      <c r="B25" s="5">
        <f>(ffe_u+itl_u)*units_c</f>
        <v>245600</v>
      </c>
    </row>
    <row r="26" spans="1:2" x14ac:dyDescent="0.25">
      <c r="A26" t="s">
        <v>140</v>
      </c>
      <c r="B26" s="5">
        <f>permits_f+arch_f</f>
        <v>70000</v>
      </c>
    </row>
    <row r="27" spans="1:2" x14ac:dyDescent="0.25">
      <c r="A27" t="s">
        <v>141</v>
      </c>
      <c r="B27" s="5">
        <f>price+B23+B24+B25+B26</f>
        <v>4752050</v>
      </c>
    </row>
    <row r="28" spans="1:2" x14ac:dyDescent="0.25">
      <c r="A28" t="s">
        <v>142</v>
      </c>
      <c r="B28" s="5">
        <f>gp_fee_pct*cost_base/(1-gp_fee_pct)</f>
        <v>96980.61224489796</v>
      </c>
    </row>
    <row r="29" spans="1:2" x14ac:dyDescent="0.25">
      <c r="A29" s="3" t="s">
        <v>143</v>
      </c>
      <c r="B29" s="5">
        <f>cost_base+B28</f>
        <v>4849030.6122448975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26880</v>
      </c>
    </row>
    <row r="33" spans="1:2" x14ac:dyDescent="0.25">
      <c r="A33" t="s">
        <v>147</v>
      </c>
      <c r="B33" s="5">
        <f>vat_ffe*B25</f>
        <v>51576</v>
      </c>
    </row>
    <row r="34" spans="1:2" x14ac:dyDescent="0.25">
      <c r="A34" t="s">
        <v>148</v>
      </c>
      <c r="B34" s="5">
        <f>vat_soft*B26</f>
        <v>14700</v>
      </c>
    </row>
    <row r="35" spans="1:2" x14ac:dyDescent="0.25">
      <c r="A35" t="s">
        <v>149</v>
      </c>
      <c r="B35" s="5">
        <f>vat_fees*(B23-ajd_pct*price-itp_pct*price)</f>
        <v>30492</v>
      </c>
    </row>
    <row r="36" spans="1:2" x14ac:dyDescent="0.25">
      <c r="A36" s="3" t="s">
        <v>150</v>
      </c>
      <c r="B36" s="5">
        <f>SUM(B31:B35)</f>
        <v>123648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151</v>
      </c>
    </row>
    <row r="2" spans="3:9" x14ac:dyDescent="0.25">
      <c r="C2" s="3" t="s">
        <v>152</v>
      </c>
      <c r="D2" s="3" t="s">
        <v>153</v>
      </c>
      <c r="E2" s="3" t="s">
        <v>154</v>
      </c>
      <c r="F2" s="3" t="s">
        <v>155</v>
      </c>
      <c r="G2" s="3" t="s">
        <v>156</v>
      </c>
      <c r="H2" s="3" t="s">
        <v>157</v>
      </c>
      <c r="I2" s="3" t="s">
        <v>158</v>
      </c>
    </row>
    <row r="3" spans="1:9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  <c r="G3" s="6">
        <f>occ_stab</f>
        <v>0.82</v>
      </c>
      <c r="H3" s="6">
        <f>occ_stab</f>
        <v>0.82</v>
      </c>
      <c r="I3" s="6">
        <f>occ_stab</f>
        <v>0.82</v>
      </c>
    </row>
    <row r="4" spans="1:9" x14ac:dyDescent="0.25">
      <c r="A4" t="s">
        <v>159</v>
      </c>
      <c r="C4" s="5">
        <f>blended_incl/(1+iva)*adr_y1f</f>
        <v>107.5227272727272</v>
      </c>
      <c r="D4" s="5">
        <f>blended_incl/(1+iva)</f>
        <v>113.1818181818181</v>
      </c>
      <c r="E4" s="5">
        <f>D4*(1+adr_infl)</f>
        <v>115.44545454545447</v>
      </c>
      <c r="F4" s="5">
        <f>E4*(1+adr_infl)</f>
        <v>117.75436363636356</v>
      </c>
      <c r="G4" s="5">
        <f>F4*(1+adr_infl)</f>
        <v>120.10945090909084</v>
      </c>
      <c r="H4" s="5">
        <f>G4*(1+adr_infl)</f>
        <v>122.51163992727265</v>
      </c>
      <c r="I4" s="5">
        <f>H4*(1+adr_infl)</f>
        <v>124.96187272581811</v>
      </c>
    </row>
    <row r="5" spans="1:9" x14ac:dyDescent="0.25">
      <c r="A5" t="s">
        <v>160</v>
      </c>
      <c r="C5" s="5">
        <f>C3*365*C4*unit_n</f>
        <v>715843.3090909085</v>
      </c>
      <c r="D5" s="5">
        <f>D3*365*D4*unit_n</f>
        <v>783263.4545454541</v>
      </c>
      <c r="E5" s="5">
        <f>E3*365*E4*unit_n</f>
        <v>829267.7890909084</v>
      </c>
      <c r="F5" s="5">
        <f>F3*365*F4*unit_n</f>
        <v>845853.1448727266</v>
      </c>
      <c r="G5" s="5">
        <f>G3*365*G4*unit_n</f>
        <v>862770.2077701811</v>
      </c>
      <c r="H5" s="5">
        <f>H3*365*H4*unit_n</f>
        <v>880025.6119255847</v>
      </c>
      <c r="I5" s="5">
        <f>I3*365*I4*unit_n</f>
        <v>897626.1241640965</v>
      </c>
    </row>
    <row r="6" spans="1:9" x14ac:dyDescent="0.25">
      <c r="A6" t="s">
        <v>161</v>
      </c>
      <c r="C6" s="5">
        <f>clean_base*C3/occ_stab</f>
        <v>63968.0709534368</v>
      </c>
      <c r="D6" s="5">
        <f>clean_base*D3/occ_stab</f>
        <v>66493.12638580932</v>
      </c>
      <c r="E6" s="5">
        <f>clean_base*E3/occ_stab</f>
        <v>69018.18181818181</v>
      </c>
      <c r="F6" s="5">
        <f>clean_base*F3/occ_stab</f>
        <v>69018.18181818181</v>
      </c>
      <c r="G6" s="5">
        <f>clean_base*G3/occ_stab</f>
        <v>69018.18181818181</v>
      </c>
      <c r="H6" s="5">
        <f>clean_base*H3/occ_stab</f>
        <v>69018.18181818181</v>
      </c>
      <c r="I6" s="5">
        <f>clean_base*I3/occ_stab</f>
        <v>69018.18181818181</v>
      </c>
    </row>
    <row r="7" spans="1:9" x14ac:dyDescent="0.25">
      <c r="A7" t="s">
        <v>162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  <c r="G7" s="5">
        <f>mtr_rent_a*(1+mtr_rinfl)^MAX(0,5-2)</f>
        <v>0</v>
      </c>
      <c r="H7" s="5">
        <f>mtr_rent_a*(1+mtr_rinfl)^MAX(0,6-2)</f>
        <v>0</v>
      </c>
      <c r="I7" s="5">
        <f>mtr_rent_a*(1+mtr_rinfl)^MAX(0,7-2)</f>
        <v>0</v>
      </c>
    </row>
    <row r="8" spans="1:9" x14ac:dyDescent="0.25">
      <c r="A8" t="s">
        <v>163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</row>
    <row r="9" spans="1:9" x14ac:dyDescent="0.25">
      <c r="A9" s="3" t="s">
        <v>164</v>
      </c>
      <c r="C9" s="5">
        <f>C5+C6+C7+C8</f>
        <v>779811.3800443453</v>
      </c>
      <c r="D9" s="5">
        <f>D5+D6+D7+D8</f>
        <v>849756.5809312634</v>
      </c>
      <c r="E9" s="5">
        <f>E5+E6+E7+E8</f>
        <v>898285.9709090901</v>
      </c>
      <c r="F9" s="5">
        <f>F5+F6+F7+F8</f>
        <v>914871.3266909084</v>
      </c>
      <c r="G9" s="5">
        <f>G5+G6+G7+G8</f>
        <v>931788.3895883629</v>
      </c>
      <c r="H9" s="5">
        <f>H5+H6+H7+H8</f>
        <v>949043.7937437665</v>
      </c>
      <c r="I9" s="5">
        <f>I5+I6+I7+I8</f>
        <v>966644.3059822783</v>
      </c>
    </row>
    <row r="10" spans="1:9" x14ac:dyDescent="0.25">
      <c r="A10" t="s">
        <v>165</v>
      </c>
      <c r="C10" s="5">
        <f>-(C5+C6)*comm_pct</f>
        <v>-132567.93460753871</v>
      </c>
      <c r="D10" s="5">
        <f>-(D5+D6)*comm_pct</f>
        <v>-144458.61875831478</v>
      </c>
      <c r="E10" s="5">
        <f>-(E5+E6)*comm_pct</f>
        <v>-152708.61505454534</v>
      </c>
      <c r="F10" s="5">
        <f>-(F5+F6)*comm_pct</f>
        <v>-155528.12553745444</v>
      </c>
      <c r="G10" s="5">
        <f>-(G5+G6)*comm_pct</f>
        <v>-158404.0262300217</v>
      </c>
      <c r="H10" s="5">
        <f>-(H5+H6)*comm_pct</f>
        <v>-161337.44493644033</v>
      </c>
      <c r="I10" s="5">
        <f>-(I5+I6)*comm_pct</f>
        <v>-164329.53201698733</v>
      </c>
    </row>
    <row r="11" spans="1:9" x14ac:dyDescent="0.25">
      <c r="A11" t="s">
        <v>166</v>
      </c>
      <c r="C11" s="5">
        <f>-turn_base*C3/occ_stab*hk_hours*hk_rate*C34</f>
        <v>-48714.14634146343</v>
      </c>
      <c r="D11" s="5">
        <f>-turn_base*D3/occ_stab*hk_hours*hk_rate*D34</f>
        <v>-51649.81463414635</v>
      </c>
      <c r="E11" s="5">
        <f>-turn_base*E3/occ_stab*hk_hours*hk_rate*E34</f>
        <v>-54683.42400000001</v>
      </c>
      <c r="F11" s="5">
        <f>-turn_base*F3/occ_stab*hk_hours*hk_rate*F34</f>
        <v>-55777.09248000002</v>
      </c>
      <c r="G11" s="5">
        <f>-turn_base*G3/occ_stab*hk_hours*hk_rate*G34</f>
        <v>-56892.63432960001</v>
      </c>
      <c r="H11" s="5">
        <f>-turn_base*H3/occ_stab*hk_hours*hk_rate*H34</f>
        <v>-58030.48701619202</v>
      </c>
      <c r="I11" s="5">
        <f>-turn_base*I3/occ_stab*hk_hours*hk_rate*I34</f>
        <v>-59191.09675651586</v>
      </c>
    </row>
    <row r="12" spans="1:9" x14ac:dyDescent="0.25">
      <c r="A12" t="s">
        <v>167</v>
      </c>
      <c r="C12" s="5">
        <f>-turn_base*C3/occ_stab*linen_t*C34</f>
        <v>-12990.439024390249</v>
      </c>
      <c r="D12" s="5">
        <f>-turn_base*D3/occ_stab*linen_t*D34</f>
        <v>-13773.283902439029</v>
      </c>
      <c r="E12" s="5">
        <f>-turn_base*E3/occ_stab*linen_t*E34</f>
        <v>-14582.246400000004</v>
      </c>
      <c r="F12" s="5">
        <f>-turn_base*F3/occ_stab*linen_t*F34</f>
        <v>-14873.891328000005</v>
      </c>
      <c r="G12" s="5">
        <f>-turn_base*G3/occ_stab*linen_t*G34</f>
        <v>-15171.369154560003</v>
      </c>
      <c r="H12" s="5">
        <f>-turn_base*H3/occ_stab*linen_t*H34</f>
        <v>-15474.796537651204</v>
      </c>
      <c r="I12" s="5">
        <f>-turn_base*I3/occ_stab*linen_t*I34</f>
        <v>-15784.292468404228</v>
      </c>
    </row>
    <row r="13" spans="1:9" x14ac:dyDescent="0.25">
      <c r="A13" t="s">
        <v>168</v>
      </c>
      <c r="C13" s="5">
        <f>-turn_base*C3/occ_stab*amen_t*C34</f>
        <v>-7794.263414634149</v>
      </c>
      <c r="D13" s="5">
        <f>-turn_base*D3/occ_stab*amen_t*D34</f>
        <v>-8263.970341463417</v>
      </c>
      <c r="E13" s="5">
        <f>-turn_base*E3/occ_stab*amen_t*E34</f>
        <v>-8749.347840000002</v>
      </c>
      <c r="F13" s="5">
        <f>-turn_base*F3/occ_stab*amen_t*F34</f>
        <v>-8924.334796800003</v>
      </c>
      <c r="G13" s="5">
        <f>-turn_base*G3/occ_stab*amen_t*G34</f>
        <v>-9102.821492736002</v>
      </c>
      <c r="H13" s="5">
        <f>-turn_base*H3/occ_stab*amen_t*H34</f>
        <v>-9284.877922590722</v>
      </c>
      <c r="I13" s="5">
        <f>-turn_base*I3/occ_stab*amen_t*I34</f>
        <v>-9470.575481042537</v>
      </c>
    </row>
    <row r="14" spans="1:9" x14ac:dyDescent="0.25">
      <c r="A14" s="3" t="s">
        <v>169</v>
      </c>
      <c r="C14" s="5">
        <f>C10+C11+C12+C13</f>
        <v>-202066.78338802652</v>
      </c>
      <c r="D14" s="5">
        <f>D10+D11+D12+D13</f>
        <v>-218145.68763636358</v>
      </c>
      <c r="E14" s="5">
        <f>E10+E11+E12+E13</f>
        <v>-230723.63329454535</v>
      </c>
      <c r="F14" s="5">
        <f>F10+F11+F12+F13</f>
        <v>-235103.44414225448</v>
      </c>
      <c r="G14" s="5">
        <f>G10+G11+G12+G13</f>
        <v>-239570.85120691772</v>
      </c>
      <c r="H14" s="5">
        <f>H10+H11+H12+H13</f>
        <v>-244127.60641287427</v>
      </c>
      <c r="I14" s="5">
        <f>I10+I11+I12+I13</f>
        <v>-248775.49672294996</v>
      </c>
    </row>
    <row r="15" spans="1:9" x14ac:dyDescent="0.25">
      <c r="A15" t="s">
        <v>170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  <c r="G15" s="5">
        <f>-admin_m*12*G34</f>
        <v>-2597.837184</v>
      </c>
      <c r="H15" s="5">
        <f>-admin_m*12*H34</f>
        <v>-2649.7939276800003</v>
      </c>
      <c r="I15" s="5">
        <f>-admin_m*12*I34</f>
        <v>-2702.7898062336003</v>
      </c>
    </row>
    <row r="16" spans="1:9" x14ac:dyDescent="0.25">
      <c r="A16" t="s">
        <v>171</v>
      </c>
      <c r="C16" s="5">
        <f>-(unit_n*util_m+mtr_n*mtr_util_m+cost_unit_n*commu_m)*12*C34</f>
        <v>-39456</v>
      </c>
      <c r="D16" s="5">
        <f>-(unit_n*util_m+mtr_n*mtr_util_m+cost_unit_n*commu_m)*12*D34</f>
        <v>-40245.12</v>
      </c>
      <c r="E16" s="5">
        <f>-(unit_n*util_m+mtr_n*mtr_util_m+cost_unit_n*commu_m)*12*E34</f>
        <v>-41050.0224</v>
      </c>
      <c r="F16" s="5">
        <f>-(unit_n*util_m+mtr_n*mtr_util_m+cost_unit_n*commu_m)*12*F34</f>
        <v>-41871.02284800001</v>
      </c>
      <c r="G16" s="5">
        <f>-(unit_n*util_m+mtr_n*mtr_util_m+cost_unit_n*commu_m)*12*G34</f>
        <v>-42708.44330496</v>
      </c>
      <c r="H16" s="5">
        <f>-(unit_n*util_m+mtr_n*mtr_util_m+cost_unit_n*commu_m)*12*H34</f>
        <v>-43562.6121710592</v>
      </c>
      <c r="I16" s="5">
        <f>-(unit_n*util_m+mtr_n*mtr_util_m+cost_unit_n*commu_m)*12*I34</f>
        <v>-44433.864414480384</v>
      </c>
    </row>
    <row r="17" spans="1:9" x14ac:dyDescent="0.25">
      <c r="A17" t="s">
        <v>172</v>
      </c>
      <c r="C17" s="5">
        <f>-C9*maint_pct</f>
        <v>-9357.736560532143</v>
      </c>
      <c r="D17" s="5">
        <f>-D9*maint_pct</f>
        <v>-10197.07897117516</v>
      </c>
      <c r="E17" s="5">
        <f>-E9*maint_pct</f>
        <v>-10779.431650909082</v>
      </c>
      <c r="F17" s="5">
        <f>-F9*maint_pct</f>
        <v>-10978.4559202909</v>
      </c>
      <c r="G17" s="5">
        <f>-G9*maint_pct</f>
        <v>-11181.460675060354</v>
      </c>
      <c r="H17" s="5">
        <f>-H9*maint_pct</f>
        <v>-11388.525524925199</v>
      </c>
      <c r="I17" s="5">
        <f>-I9*maint_pct</f>
        <v>-11599.73167178734</v>
      </c>
    </row>
    <row r="18" spans="1:9" x14ac:dyDescent="0.25">
      <c r="A18" t="s">
        <v>173</v>
      </c>
      <c r="C18" s="5">
        <f>-cost_unit_n*12*it_m*C34</f>
        <v>-11520</v>
      </c>
      <c r="D18" s="5">
        <f>-cost_unit_n*12*it_m*D34</f>
        <v>-11750.4</v>
      </c>
      <c r="E18" s="5">
        <f>-cost_unit_n*12*it_m*E34</f>
        <v>-11985.408</v>
      </c>
      <c r="F18" s="5">
        <f>-cost_unit_n*12*it_m*F34</f>
        <v>-12225.116160000001</v>
      </c>
      <c r="G18" s="5">
        <f>-cost_unit_n*12*it_m*G34</f>
        <v>-12469.6184832</v>
      </c>
      <c r="H18" s="5">
        <f>-cost_unit_n*12*it_m*H34</f>
        <v>-12719.010852864</v>
      </c>
      <c r="I18" s="5">
        <f>-cost_unit_n*12*it_m*I34</f>
        <v>-12973.391069921281</v>
      </c>
    </row>
    <row r="19" spans="1:9" x14ac:dyDescent="0.25">
      <c r="A19" t="s">
        <v>174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  <c r="G19" s="5">
        <f>-15000*G34</f>
        <v>-16236.482399999999</v>
      </c>
      <c r="H19" s="5">
        <f>-15000*H34</f>
        <v>-16561.212048</v>
      </c>
      <c r="I19" s="5">
        <f>-15000*I34</f>
        <v>-16892.43628896</v>
      </c>
    </row>
    <row r="20" spans="1:9" x14ac:dyDescent="0.25">
      <c r="A20" t="s">
        <v>175</v>
      </c>
      <c r="C20" s="5">
        <f>-4*cost_unit_n*12*C34</f>
        <v>-1152</v>
      </c>
      <c r="D20" s="5">
        <f>-4*cost_unit_n*12*D34</f>
        <v>-1175.04</v>
      </c>
      <c r="E20" s="5">
        <f>-4*cost_unit_n*12*E34</f>
        <v>-1198.5408</v>
      </c>
      <c r="F20" s="5">
        <f>-4*cost_unit_n*12*F34</f>
        <v>-1222.5116160000002</v>
      </c>
      <c r="G20" s="5">
        <f>-4*cost_unit_n*12*G34</f>
        <v>-1246.96184832</v>
      </c>
      <c r="H20" s="5">
        <f>-4*cost_unit_n*12*H34</f>
        <v>-1271.9010852864</v>
      </c>
      <c r="I20" s="5">
        <f>-4*cost_unit_n*12*I34</f>
        <v>-1297.339106992128</v>
      </c>
    </row>
    <row r="21" spans="1:9" x14ac:dyDescent="0.25">
      <c r="A21" s="3" t="s">
        <v>176</v>
      </c>
      <c r="C21" s="5">
        <f>C15+C16+C17+C18+C19+C20</f>
        <v>-78885.73656053214</v>
      </c>
      <c r="D21" s="5">
        <f>D15+D16+D17+D18+D19+D20</f>
        <v>-81115.63897117517</v>
      </c>
      <c r="E21" s="5">
        <f>E15+E16+E17+E18+E19+E20</f>
        <v>-83116.36285090908</v>
      </c>
      <c r="F21" s="5">
        <f>F15+F16+F17+F18+F19+F20</f>
        <v>-84762.12574429091</v>
      </c>
      <c r="G21" s="5">
        <f>G15+G16+G17+G18+G19+G20</f>
        <v>-86440.80389554035</v>
      </c>
      <c r="H21" s="5">
        <f>H15+H16+H17+H18+H19+H20</f>
        <v>-88153.05560981481</v>
      </c>
      <c r="I21" s="5">
        <f>I15+I16+I17+I18+I19+I20</f>
        <v>-89899.55235837473</v>
      </c>
    </row>
    <row r="22" spans="1:9" x14ac:dyDescent="0.25">
      <c r="A22" s="3" t="s">
        <v>177</v>
      </c>
      <c r="C22" s="5">
        <f>C9+C14+C21</f>
        <v>498858.8600957866</v>
      </c>
      <c r="D22" s="5">
        <f>D9+D14+D21</f>
        <v>550495.2543237247</v>
      </c>
      <c r="E22" s="5">
        <f>E9+E14+E21</f>
        <v>584445.9747636357</v>
      </c>
      <c r="F22" s="5">
        <f>F9+F14+F21</f>
        <v>595005.7568043629</v>
      </c>
      <c r="G22" s="5">
        <f>G9+G14+G21</f>
        <v>605776.7344859048</v>
      </c>
      <c r="H22" s="5">
        <f>H9+H14+H21</f>
        <v>616763.1317210774</v>
      </c>
      <c r="I22" s="5">
        <f>I9+I14+I21</f>
        <v>627969.2569009536</v>
      </c>
    </row>
    <row r="23" spans="1:9" x14ac:dyDescent="0.25">
      <c r="A23" t="s">
        <v>178</v>
      </c>
      <c r="C23" s="5">
        <f>-C9*mgmt_pct</f>
        <v>-120870.76390687352</v>
      </c>
      <c r="D23" s="5">
        <f>-D9*mgmt_pct</f>
        <v>-131712.27004434582</v>
      </c>
      <c r="E23" s="5">
        <f>-E9*mgmt_pct</f>
        <v>-139234.32549090896</v>
      </c>
      <c r="F23" s="5">
        <f>-F9*mgmt_pct</f>
        <v>-141805.05563709082</v>
      </c>
      <c r="G23" s="5">
        <f>-G9*mgmt_pct</f>
        <v>-144427.20038619626</v>
      </c>
      <c r="H23" s="5">
        <f>-H9*mgmt_pct</f>
        <v>-147101.78803028382</v>
      </c>
      <c r="I23" s="5">
        <f>-I9*mgmt_pct</f>
        <v>-149829.86742725314</v>
      </c>
    </row>
    <row r="24" spans="1:9" x14ac:dyDescent="0.25">
      <c r="A24" s="3" t="s">
        <v>179</v>
      </c>
      <c r="C24" s="5">
        <f>C23</f>
        <v>-120870.76390687352</v>
      </c>
      <c r="D24" s="5">
        <f>D23</f>
        <v>-131712.27004434582</v>
      </c>
      <c r="E24" s="5">
        <f>E23</f>
        <v>-139234.32549090896</v>
      </c>
      <c r="F24" s="5">
        <f>F23</f>
        <v>-141805.05563709082</v>
      </c>
      <c r="G24" s="5">
        <f>G23</f>
        <v>-144427.20038619626</v>
      </c>
      <c r="H24" s="5">
        <f>H23</f>
        <v>-147101.78803028382</v>
      </c>
      <c r="I24" s="5">
        <f>I23</f>
        <v>-149829.86742725314</v>
      </c>
    </row>
    <row r="25" spans="1:9" x14ac:dyDescent="0.25">
      <c r="A25" s="3" t="s">
        <v>180</v>
      </c>
      <c r="C25" s="5">
        <f>C22+C24</f>
        <v>377988.09618891304</v>
      </c>
      <c r="D25" s="5">
        <f>D22+D24</f>
        <v>418782.9842793789</v>
      </c>
      <c r="E25" s="5">
        <f>E22+E24</f>
        <v>445211.64927272673</v>
      </c>
      <c r="F25" s="5">
        <f>F22+F24</f>
        <v>453200.70116727205</v>
      </c>
      <c r="G25" s="5">
        <f>G22+G24</f>
        <v>461349.53409970854</v>
      </c>
      <c r="H25" s="5">
        <f>H22+H24</f>
        <v>469661.34369079355</v>
      </c>
      <c r="I25" s="5">
        <f>I22+I24</f>
        <v>478139.38947370043</v>
      </c>
    </row>
    <row r="26" spans="1:9" x14ac:dyDescent="0.25">
      <c r="A26" t="s">
        <v>181</v>
      </c>
      <c r="C26" s="5">
        <f>-ibi_a*C34</f>
        <v>-7800</v>
      </c>
      <c r="D26" s="5">
        <f>-ibi_a*D34</f>
        <v>-7956</v>
      </c>
      <c r="E26" s="5">
        <f>-ibi_a*E34</f>
        <v>-8115.12</v>
      </c>
      <c r="F26" s="5">
        <f>-ibi_a*F34</f>
        <v>-8277.422400000001</v>
      </c>
      <c r="G26" s="5">
        <f>-ibi_a*G34</f>
        <v>-8442.970847999999</v>
      </c>
      <c r="H26" s="5">
        <f>-ibi_a*H34</f>
        <v>-8611.830264960001</v>
      </c>
      <c r="I26" s="5">
        <f>-ibi_a*I34</f>
        <v>-8784.066870259201</v>
      </c>
    </row>
    <row r="27" spans="1:9" x14ac:dyDescent="0.25">
      <c r="A27" t="s">
        <v>182</v>
      </c>
      <c r="C27" s="5">
        <f>-cost_unit_n*12*ins_m*C34</f>
        <v>-4320</v>
      </c>
      <c r="D27" s="5">
        <f>-cost_unit_n*12*ins_m*D34</f>
        <v>-4406.4</v>
      </c>
      <c r="E27" s="5">
        <f>-cost_unit_n*12*ins_m*E34</f>
        <v>-4494.528</v>
      </c>
      <c r="F27" s="5">
        <f>-cost_unit_n*12*ins_m*F34</f>
        <v>-4584.418560000001</v>
      </c>
      <c r="G27" s="5">
        <f>-cost_unit_n*12*ins_m*G34</f>
        <v>-4676.1069312</v>
      </c>
      <c r="H27" s="5">
        <f>-cost_unit_n*12*ins_m*H34</f>
        <v>-4769.629069824</v>
      </c>
      <c r="I27" s="5">
        <f>-cost_unit_n*12*ins_m*I34</f>
        <v>-4865.021651220481</v>
      </c>
    </row>
    <row r="28" spans="1:9" x14ac:dyDescent="0.25">
      <c r="A28" s="3" t="s">
        <v>183</v>
      </c>
      <c r="C28" s="5">
        <f>C26+C27</f>
        <v>-12120</v>
      </c>
      <c r="D28" s="5">
        <f>D26+D27</f>
        <v>-12362.4</v>
      </c>
      <c r="E28" s="5">
        <f>E26+E27</f>
        <v>-12609.648000000001</v>
      </c>
      <c r="F28" s="5">
        <f>F26+F27</f>
        <v>-12861.840960000001</v>
      </c>
      <c r="G28" s="5">
        <f>G26+G27</f>
        <v>-13119.077779199999</v>
      </c>
      <c r="H28" s="5">
        <f>H26+H27</f>
        <v>-13381.459334784002</v>
      </c>
      <c r="I28" s="5">
        <f>I26+I27</f>
        <v>-13649.088521479682</v>
      </c>
    </row>
    <row r="29" spans="1:9" x14ac:dyDescent="0.25">
      <c r="A29" s="3" t="s">
        <v>184</v>
      </c>
      <c r="C29" s="5">
        <f>C25+C28</f>
        <v>365868.09618891304</v>
      </c>
      <c r="D29" s="5">
        <f>D25+D28</f>
        <v>406420.5842793789</v>
      </c>
      <c r="E29" s="5">
        <f>E25+E28</f>
        <v>432602.00127272675</v>
      </c>
      <c r="F29" s="5">
        <f>F25+F28</f>
        <v>440338.86020727205</v>
      </c>
      <c r="G29" s="5">
        <f>G25+G28</f>
        <v>448230.45632050856</v>
      </c>
      <c r="H29" s="5">
        <f>H25+H28</f>
        <v>456279.88435600954</v>
      </c>
      <c r="I29" s="5">
        <f>I25+I28</f>
        <v>464490.30095222074</v>
      </c>
    </row>
    <row r="30" spans="1:9" x14ac:dyDescent="0.25">
      <c r="A30" t="s">
        <v>185</v>
      </c>
      <c r="C30" s="5">
        <f>-C9*ffe_pct</f>
        <v>-19495.284501108632</v>
      </c>
      <c r="D30" s="5">
        <f>-D9*ffe_pct</f>
        <v>-21243.914523281586</v>
      </c>
      <c r="E30" s="5">
        <f>-E9*ffe_pct</f>
        <v>-22457.149272727256</v>
      </c>
      <c r="F30" s="5">
        <f>-F9*ffe_pct</f>
        <v>-22871.78316727271</v>
      </c>
      <c r="G30" s="5">
        <f>-G9*ffe_pct</f>
        <v>-23294.709739709073</v>
      </c>
      <c r="H30" s="5">
        <f>-H9*ffe_pct</f>
        <v>-23726.094843594165</v>
      </c>
      <c r="I30" s="5">
        <f>-I9*ffe_pct</f>
        <v>-24166.107649556958</v>
      </c>
    </row>
    <row r="31" spans="1:9" x14ac:dyDescent="0.25">
      <c r="A31" s="3" t="s">
        <v>186</v>
      </c>
      <c r="C31" s="5">
        <f>C29+C30</f>
        <v>346372.8116878044</v>
      </c>
      <c r="D31" s="5">
        <f>D29+D30</f>
        <v>385176.6697560973</v>
      </c>
      <c r="E31" s="5">
        <f>E29+E30</f>
        <v>410144.8519999995</v>
      </c>
      <c r="F31" s="5">
        <f>F29+F30</f>
        <v>417467.07703999936</v>
      </c>
      <c r="G31" s="5">
        <f>G29+G30</f>
        <v>424935.7465807994</v>
      </c>
      <c r="H31" s="5">
        <f>H29+H30</f>
        <v>432553.78951241536</v>
      </c>
      <c r="I31" s="5">
        <f>I29+I30</f>
        <v>440324.1933026638</v>
      </c>
    </row>
    <row r="33" spans="1:9" x14ac:dyDescent="0.25">
      <c r="A33" t="s">
        <v>187</v>
      </c>
      <c r="C33" s="5">
        <f>C5+C6+C10+C11+C12+C13</f>
        <v>577744.5966563188</v>
      </c>
      <c r="D33" s="5">
        <f>D5+D6+D10+D11+D12+D13</f>
        <v>631610.8932948998</v>
      </c>
      <c r="E33" s="5">
        <f>E5+E6+E10+E11+E12+E13</f>
        <v>667562.3376145448</v>
      </c>
      <c r="F33" s="5">
        <f>F5+F6+F10+F11+F12+F13</f>
        <v>679767.8825486539</v>
      </c>
      <c r="G33" s="5">
        <f>G5+G6+G10+G11+G12+G13</f>
        <v>692217.5383814451</v>
      </c>
      <c r="H33" s="5">
        <f>H5+H6+H10+H11+H12+H13</f>
        <v>704916.1873308922</v>
      </c>
      <c r="I33" s="5">
        <f>I5+I6+I10+I11+I12+I13</f>
        <v>717868.8092593283</v>
      </c>
    </row>
    <row r="34" spans="1:9" x14ac:dyDescent="0.25">
      <c r="A34" t="s">
        <v>188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  <c r="G34" s="13">
        <f>(1+cost_infl)^4</f>
        <v>1.08243216</v>
      </c>
      <c r="H34" s="13">
        <f>(1+cost_infl)^5</f>
        <v>1.1040808032</v>
      </c>
      <c r="I34" s="13">
        <f>(1+cost_infl)^6</f>
        <v>1.126162419264</v>
      </c>
    </row>
    <row r="35" spans="1:9" x14ac:dyDescent="0.25">
      <c r="A35" t="s">
        <v>189</v>
      </c>
      <c r="C35" s="5">
        <f>C33+C15+C16+C17+C18+C23+C26+C27+C30+C8+C7</f>
        <v>362524.8116878044</v>
      </c>
      <c r="D35" s="5">
        <f>D33+D15+D16+D17+D18+D23+D26+D27+D30+D8+D7</f>
        <v>401651.7097560973</v>
      </c>
      <c r="E35" s="5">
        <f>E33+E15+E16+E17+E18+E23+E26+E27+E30+E8+E7</f>
        <v>426949.3927999995</v>
      </c>
      <c r="F35" s="5">
        <f>F33+F15+F16+F17+F18+F23+F26+F27+F30+F8+F7</f>
        <v>434607.7086559994</v>
      </c>
      <c r="G35" s="5">
        <f>G33+G15+G16+G17+G18+G23+G26+G27+G30+G8+G7</f>
        <v>442419.1908291194</v>
      </c>
      <c r="H35" s="5">
        <f>H33+H15+H16+H17+H18+H23+H26+H27+H30+H8+H7</f>
        <v>450386.9026457018</v>
      </c>
      <c r="I35" s="5">
        <f>I33+I15+I16+I17+I18+I23+I26+I27+I30+I8+I7</f>
        <v>458513.9686986159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190</v>
      </c>
    </row>
    <row r="3" spans="1:2" x14ac:dyDescent="0.25">
      <c r="A3" t="s">
        <v>13</v>
      </c>
      <c r="B3" s="5">
        <f>ltv*tpc</f>
        <v>2666966.836734694</v>
      </c>
    </row>
    <row r="4" spans="1:2" x14ac:dyDescent="0.25">
      <c r="A4" t="s">
        <v>15</v>
      </c>
      <c r="B4" s="5">
        <f>apertura_pct*B3+ajdm_pct*B3+tasacion_u*units_c+notaria_pct*B3+registro_pct*B3+gestoria_f</f>
        <v>61672.82015306123</v>
      </c>
    </row>
    <row r="5" spans="1:2" x14ac:dyDescent="0.25">
      <c r="A5" t="s">
        <v>16</v>
      </c>
      <c r="B5" s="5">
        <f>tpc-B3+B4</f>
        <v>2243736.595663265</v>
      </c>
    </row>
    <row r="6" spans="1:2" x14ac:dyDescent="0.25">
      <c r="A6" t="s">
        <v>19</v>
      </c>
      <c r="B6" s="5">
        <f>B5*(1-gp_pct)</f>
        <v>1794989.276530612</v>
      </c>
    </row>
    <row r="7" spans="1:2" x14ac:dyDescent="0.25">
      <c r="A7" t="s">
        <v>20</v>
      </c>
      <c r="B7" s="5">
        <f>B5*gp_pct</f>
        <v>448747.319132653</v>
      </c>
    </row>
    <row r="8" spans="1:2" x14ac:dyDescent="0.25">
      <c r="A8" t="s">
        <v>21</v>
      </c>
      <c r="B8" s="5">
        <f>-PMT(rate/12,term*12,B3)*12</f>
        <v>217183.36820469773</v>
      </c>
    </row>
    <row r="10" spans="3:9" x14ac:dyDescent="0.25"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  <c r="H10" s="3" t="s">
        <v>157</v>
      </c>
      <c r="I10" s="3" t="s">
        <v>158</v>
      </c>
    </row>
    <row r="11" spans="1:9" x14ac:dyDescent="0.25">
      <c r="A11" t="s">
        <v>186</v>
      </c>
      <c r="C11" s="5">
        <f>'P&amp;L'!C31</f>
        <v>346372.8116878044</v>
      </c>
      <c r="D11" s="5">
        <f>'P&amp;L'!D31</f>
        <v>385176.6697560973</v>
      </c>
      <c r="E11" s="5">
        <f>'P&amp;L'!E31</f>
        <v>410144.8519999995</v>
      </c>
      <c r="F11" s="5">
        <f>'P&amp;L'!F31</f>
        <v>417467.07703999936</v>
      </c>
      <c r="G11" s="5">
        <f>'P&amp;L'!G31</f>
        <v>424935.7465807994</v>
      </c>
      <c r="H11" s="5">
        <f>'P&amp;L'!H31</f>
        <v>432553.78951241536</v>
      </c>
      <c r="I11" s="5">
        <f>'P&amp;L'!I31</f>
        <v>440324.1933026638</v>
      </c>
    </row>
    <row r="12" spans="1:9" x14ac:dyDescent="0.25">
      <c r="A12" t="s">
        <v>191</v>
      </c>
      <c r="C12" s="5">
        <f>IF(B$3=0,0,CUMIPMT(rate/12,term*12,B$3,1,12,0))</f>
        <v>-71514.66121611175</v>
      </c>
      <c r="D12" s="5">
        <f>IF(B$3=0,0,CUMIPMT(rate/12,term*12,B$3,13,24,0))</f>
        <v>-67457.8931853389</v>
      </c>
      <c r="E12" s="5">
        <f>IF(B$3=0,0,CUMIPMT(rate/12,term*12,B$3,25,36,0))</f>
        <v>-63288.147101861854</v>
      </c>
      <c r="F12" s="5">
        <f>IF(B$3=0,0,CUMIPMT(rate/12,term*12,B$3,37,48,0))</f>
        <v>-59002.27660870491</v>
      </c>
      <c r="G12" s="5">
        <f>IF(B$3=0,0,CUMIPMT(rate/12,term*12,B$3,49,60,0))</f>
        <v>-54597.0477251283</v>
      </c>
      <c r="H12" s="5">
        <f>IF(B$3=0,0,CUMIPMT(rate/12,term*12,B$3,61,72,0))</f>
        <v>-50069.136406369966</v>
      </c>
      <c r="I12" s="5">
        <f>IF(B$3=0,0,CUMIPMT(rate/12,term*12,B$3,73,84,0))</f>
        <v>-45415.12603542774</v>
      </c>
    </row>
    <row r="13" spans="1:9" x14ac:dyDescent="0.25">
      <c r="A13" t="s">
        <v>192</v>
      </c>
      <c r="C13" s="5">
        <f>IF(B$3=0,0,CUMPRINC(rate/12,term*12,B$3,1,12,0))</f>
        <v>-145668.70698858603</v>
      </c>
      <c r="D13" s="5">
        <f>IF(B$3=0,0,CUMPRINC(rate/12,term*12,B$3,13,24,0))</f>
        <v>-149725.47501935886</v>
      </c>
      <c r="E13" s="5">
        <f>IF(B$3=0,0,CUMPRINC(rate/12,term*12,B$3,25,36,0))</f>
        <v>-153895.22110283587</v>
      </c>
      <c r="F13" s="5">
        <f>IF(B$3=0,0,CUMPRINC(rate/12,term*12,B$3,37,48,0))</f>
        <v>-158181.09159599282</v>
      </c>
      <c r="G13" s="5">
        <f>IF(B$3=0,0,CUMPRINC(rate/12,term*12,B$3,49,60,0))</f>
        <v>-162586.32047956943</v>
      </c>
      <c r="H13" s="5">
        <f>IF(B$3=0,0,CUMPRINC(rate/12,term*12,B$3,61,72,0))</f>
        <v>-167114.23179832776</v>
      </c>
      <c r="I13" s="5">
        <f>IF(B$3=0,0,CUMPRINC(rate/12,term*12,B$3,73,84,0))</f>
        <v>-171768.24216927003</v>
      </c>
    </row>
    <row r="14" spans="1:9" x14ac:dyDescent="0.25">
      <c r="A14" t="s">
        <v>193</v>
      </c>
      <c r="C14" s="5">
        <f>C11+C12+C13</f>
        <v>129189.44348310665</v>
      </c>
      <c r="D14" s="5">
        <f>D11+D12+D13</f>
        <v>167993.30155139958</v>
      </c>
      <c r="E14" s="5">
        <f>E11+E12+E13</f>
        <v>192961.48379530178</v>
      </c>
      <c r="F14" s="5">
        <f>F11+F12+F13</f>
        <v>200283.70883530166</v>
      </c>
      <c r="G14" s="5">
        <f>G11+G12+G13</f>
        <v>207752.37837610167</v>
      </c>
      <c r="H14" s="5">
        <f>H11+H12+H13</f>
        <v>215370.42130771762</v>
      </c>
      <c r="I14" s="5">
        <f>I11+I12+I13</f>
        <v>223140.82509796604</v>
      </c>
    </row>
    <row r="15" spans="1:9" x14ac:dyDescent="0.25">
      <c r="A15" t="s">
        <v>194</v>
      </c>
      <c r="C15" s="5">
        <f>MAX(0,C14)</f>
        <v>129189.44348310665</v>
      </c>
      <c r="D15" s="5">
        <f>MAX(0,D14)</f>
        <v>167993.30155139958</v>
      </c>
      <c r="E15" s="5">
        <f>MAX(0,E14)</f>
        <v>192961.48379530178</v>
      </c>
      <c r="F15" s="5">
        <f>MAX(0,F14)</f>
        <v>200283.70883530166</v>
      </c>
      <c r="G15" s="5">
        <f>MAX(0,G14)</f>
        <v>207752.37837610167</v>
      </c>
      <c r="H15" s="5">
        <f>MAX(0,H14)</f>
        <v>215370.42130771762</v>
      </c>
      <c r="I15" s="5">
        <f>MAX(0,I14)</f>
        <v>223140.82509796604</v>
      </c>
    </row>
    <row r="16" spans="1:9" x14ac:dyDescent="0.25">
      <c r="A16" t="s">
        <v>195</v>
      </c>
      <c r="C16" s="5">
        <f>1938588.4186530611</f>
        <v>1938588.4186530611</v>
      </c>
      <c r="D16" s="5">
        <f>1982055.8129759019</f>
        <v>1982055.8129759019</v>
      </c>
      <c r="E16" s="5">
        <f>1995474.0654735647</f>
        <v>1995474.0654735647</v>
      </c>
      <c r="F16" s="5">
        <f>1988393.26871231</f>
        <v>1988393.26871231</v>
      </c>
      <c r="G16" s="5">
        <f>1974419.6057755935</f>
        <v>1974419.6057755935</v>
      </c>
      <c r="H16" s="5">
        <f>1952875.1193206892</f>
        <v>1952875.1193206892</v>
      </c>
      <c r="I16" s="5">
        <f>1923025.0848564766</f>
        <v>1923025.0848564766</v>
      </c>
    </row>
    <row r="17" spans="1:9" x14ac:dyDescent="0.25">
      <c r="A17" t="s">
        <v>196</v>
      </c>
      <c r="C17" s="5">
        <f>2010387.9897142856</f>
        <v>2010387.9897142856</v>
      </c>
      <c r="D17" s="5">
        <f>2135880.807119136</f>
        <v>2135880.807119136</v>
      </c>
      <c r="E17" s="5">
        <f>2241664.505783379</f>
        <v>2241664.505783379</v>
      </c>
      <c r="F17" s="5">
        <f>2337770.756996794</f>
        <v>2337770.756996794</v>
      </c>
      <c r="G17" s="5">
        <f>2438849.0447199796</f>
        <v>2438849.0447199796</v>
      </c>
      <c r="H17" s="5">
        <f>2545364.7990613906</f>
        <v>2545364.7990613906</v>
      </c>
      <c r="I17" s="5">
        <f>2657836.6774570425</f>
        <v>2657836.6774570425</v>
      </c>
    </row>
    <row r="18" spans="1:9" x14ac:dyDescent="0.25">
      <c r="A18" t="s">
        <v>197</v>
      </c>
      <c r="C18" s="5">
        <f>0</f>
        <v>0</v>
      </c>
      <c r="D18" s="5">
        <f>C18+C22</f>
        <v>103351.55478648533</v>
      </c>
      <c r="E18" s="5">
        <f>D18+D22</f>
        <v>237746.196027605</v>
      </c>
      <c r="F18" s="5">
        <f>E18+E22</f>
        <v>392115.38306384644</v>
      </c>
      <c r="G18" s="5">
        <f>F18+F22</f>
        <v>552342.3501320877</v>
      </c>
      <c r="H18" s="5">
        <f>G18+G22</f>
        <v>718544.2528329691</v>
      </c>
      <c r="I18" s="5">
        <f>H18+H22</f>
        <v>890840.5898791432</v>
      </c>
    </row>
    <row r="19" spans="1:9" x14ac:dyDescent="0.25">
      <c r="A19" t="s">
        <v>198</v>
      </c>
      <c r="C19" s="5">
        <f>129189.44348310665</f>
        <v>129189.44348310665</v>
      </c>
      <c r="D19" s="5">
        <f>167993.30155139958</f>
        <v>167993.30155139958</v>
      </c>
      <c r="E19" s="5">
        <f>192961.48379530178</f>
        <v>192961.48379530178</v>
      </c>
      <c r="F19" s="5">
        <f>200283.70883530166</f>
        <v>200283.70883530166</v>
      </c>
      <c r="G19" s="5">
        <f>207752.37837610167</f>
        <v>207752.37837610167</v>
      </c>
      <c r="H19" s="5">
        <f>215370.42130771762</f>
        <v>215370.42130771762</v>
      </c>
      <c r="I19" s="5">
        <f>223140.82509796604</f>
        <v>223140.82509796604</v>
      </c>
    </row>
    <row r="20" spans="1:9" x14ac:dyDescent="0.25">
      <c r="A20" t="s">
        <v>199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200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201</v>
      </c>
      <c r="C22" s="5">
        <f>103351.55478648533</f>
        <v>103351.55478648533</v>
      </c>
      <c r="D22" s="5">
        <f>134394.64124111968</f>
        <v>134394.64124111968</v>
      </c>
      <c r="E22" s="5">
        <f>154369.18703624143</f>
        <v>154369.18703624143</v>
      </c>
      <c r="F22" s="5">
        <f>160226.96706824133</f>
        <v>160226.96706824133</v>
      </c>
      <c r="G22" s="5">
        <f>166201.90270088136</f>
        <v>166201.90270088136</v>
      </c>
      <c r="H22" s="5">
        <f>172296.3370461741</f>
        <v>172296.3370461741</v>
      </c>
      <c r="I22" s="5">
        <f>178512.66007837284</f>
        <v>178512.66007837284</v>
      </c>
    </row>
    <row r="23" spans="1:9" x14ac:dyDescent="0.25">
      <c r="A23" t="s">
        <v>202</v>
      </c>
      <c r="C23" s="5">
        <f>25837.888696621318</f>
        <v>25837.888696621318</v>
      </c>
      <c r="D23" s="5">
        <f>33598.6603102799</f>
        <v>33598.6603102799</v>
      </c>
      <c r="E23" s="5">
        <f>38592.29675906035</f>
        <v>38592.29675906035</v>
      </c>
      <c r="F23" s="5">
        <f>40056.74176706033</f>
        <v>40056.74176706033</v>
      </c>
      <c r="G23" s="5">
        <f>41550.47567522031</f>
        <v>41550.47567522031</v>
      </c>
      <c r="H23" s="5">
        <f>43074.084261543525</f>
        <v>43074.084261543525</v>
      </c>
      <c r="I23" s="5">
        <f>44628.1650195932</f>
        <v>44628.1650195932</v>
      </c>
    </row>
    <row r="25" spans="1:2" x14ac:dyDescent="0.25">
      <c r="A25" t="s">
        <v>203</v>
      </c>
      <c r="B25" s="5">
        <f>'P&amp;L'!I31</f>
        <v>440324.1933026638</v>
      </c>
    </row>
    <row r="26" spans="1:2" x14ac:dyDescent="0.25">
      <c r="A26" t="s">
        <v>204</v>
      </c>
      <c r="B26" s="5">
        <f>B25/cap</f>
        <v>6290345.618609482</v>
      </c>
    </row>
    <row r="27" spans="1:2" x14ac:dyDescent="0.25">
      <c r="A27" t="s">
        <v>27</v>
      </c>
      <c r="B27" s="5">
        <f>-B26*sell_pct</f>
        <v>-125806.91237218965</v>
      </c>
    </row>
    <row r="28" spans="1:2" x14ac:dyDescent="0.25">
      <c r="A28" t="s">
        <v>205</v>
      </c>
      <c r="B28" s="5">
        <f>IF(B$3=0,0,B$3+CUMPRINC(rate/12,term*12,B$3,1,84,0))</f>
        <v>1558027.5475807525</v>
      </c>
    </row>
    <row r="29" spans="1:2" x14ac:dyDescent="0.25">
      <c r="A29" t="s">
        <v>206</v>
      </c>
      <c r="B29" s="5">
        <f>B26+B27-B28</f>
        <v>4606511.15865654</v>
      </c>
    </row>
    <row r="30" spans="1:2" x14ac:dyDescent="0.25">
      <c r="A30" t="s">
        <v>207</v>
      </c>
      <c r="B30" s="5">
        <f>MAX(0,B29-eq_total)</f>
        <v>2362774.562993275</v>
      </c>
    </row>
    <row r="31" spans="1:2" x14ac:dyDescent="0.25">
      <c r="A31" t="s">
        <v>208</v>
      </c>
      <c r="B31" s="5">
        <f>3305007.886045674</f>
        <v>3305007.886045674</v>
      </c>
    </row>
    <row r="32" spans="1:2" x14ac:dyDescent="0.25">
      <c r="A32" t="s">
        <v>209</v>
      </c>
      <c r="B32" s="5">
        <f>1301503.2726108665</f>
        <v>1301503.2726108665</v>
      </c>
    </row>
    <row r="34" spans="1:9" x14ac:dyDescent="0.25">
      <c r="A34" t="s">
        <v>210</v>
      </c>
      <c r="B34" s="5">
        <f>-eq_lp</f>
        <v>-1794989.276530612</v>
      </c>
      <c r="C34" s="5">
        <f>C22</f>
        <v>103351.55478648533</v>
      </c>
      <c r="D34" s="5">
        <f>D22</f>
        <v>134394.64124111968</v>
      </c>
      <c r="E34" s="5">
        <f>E22</f>
        <v>154369.18703624143</v>
      </c>
      <c r="F34" s="5">
        <f>F22</f>
        <v>160226.96706824133</v>
      </c>
      <c r="G34" s="5">
        <f>G22</f>
        <v>166201.90270088136</v>
      </c>
      <c r="H34" s="5">
        <f>H22</f>
        <v>172296.3370461741</v>
      </c>
      <c r="I34" s="5">
        <f>I22+B31</f>
        <v>3483520.5461240467</v>
      </c>
    </row>
    <row r="36" spans="1:2" x14ac:dyDescent="0.25">
      <c r="A36" s="3" t="s">
        <v>31</v>
      </c>
      <c r="B36" s="6">
        <f>IRR(B34:I34)</f>
        <v>0.15600899733899357</v>
      </c>
    </row>
    <row r="37" spans="1:2" x14ac:dyDescent="0.25">
      <c r="A37" s="3" t="s">
        <v>211</v>
      </c>
      <c r="B37" s="5">
        <f>SUM(C22:I22)+B31</f>
        <v>4374361.13600319</v>
      </c>
    </row>
    <row r="38" spans="1:2" x14ac:dyDescent="0.25">
      <c r="A38" s="3" t="s">
        <v>212</v>
      </c>
      <c r="B38" s="7">
        <f>B37/eq_lp</f>
        <v>2.436984550937282</v>
      </c>
    </row>
    <row r="39" spans="1:2" x14ac:dyDescent="0.25">
      <c r="A39" s="3" t="s">
        <v>213</v>
      </c>
      <c r="B39" s="6">
        <f>'P&amp;L'!E31/tpc</f>
        <v>0.08458285475952473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214</v>
      </c>
    </row>
    <row r="3" spans="1:1" x14ac:dyDescent="0.25">
      <c r="A3" s="3" t="s">
        <v>215</v>
      </c>
    </row>
    <row r="4" spans="2:9" x14ac:dyDescent="0.25">
      <c r="B4" s="3" t="s">
        <v>216</v>
      </c>
      <c r="C4" s="3" t="s">
        <v>152</v>
      </c>
      <c r="D4" s="3" t="s">
        <v>153</v>
      </c>
      <c r="E4" s="3" t="s">
        <v>154</v>
      </c>
      <c r="F4" s="3" t="s">
        <v>155</v>
      </c>
      <c r="G4" s="3" t="s">
        <v>156</v>
      </c>
      <c r="H4" s="3" t="s">
        <v>157</v>
      </c>
      <c r="I4" s="3" t="s">
        <v>158</v>
      </c>
    </row>
    <row r="5" spans="1:2" x14ac:dyDescent="0.25">
      <c r="A5" t="s">
        <v>217</v>
      </c>
      <c r="B5" s="5">
        <f>-IF(Assumptions!$B$47&gt;0,tpc,cost_base)</f>
        <v>-4800050.5050505055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-123648</v>
      </c>
    </row>
    <row r="8" spans="1:2" x14ac:dyDescent="0.25">
      <c r="A8" t="s">
        <v>218</v>
      </c>
      <c r="B8" s="5">
        <f>Assumptions!$B$47*tpc</f>
        <v>0</v>
      </c>
    </row>
    <row r="9" spans="1:2" x14ac:dyDescent="0.25">
      <c r="A9" t="s">
        <v>219</v>
      </c>
      <c r="B9" s="5">
        <f>(-(B5+B8+B6)-B7)*(1-gp_pct)</f>
        <v>3938958.8040404045</v>
      </c>
    </row>
    <row r="10" spans="1:2" x14ac:dyDescent="0.25">
      <c r="A10" t="s">
        <v>220</v>
      </c>
      <c r="B10" s="5">
        <f>(-(B5+B8+B6)-B7)*gp_pct</f>
        <v>984739.7010101011</v>
      </c>
    </row>
    <row r="11" spans="1:2" x14ac:dyDescent="0.25">
      <c r="A11" s="3" t="s">
        <v>221</v>
      </c>
      <c r="B11" s="5">
        <f>SUM(B5:B10)</f>
        <v>0</v>
      </c>
    </row>
    <row r="13" spans="1:9" x14ac:dyDescent="0.25">
      <c r="A13" t="s">
        <v>186</v>
      </c>
      <c r="C13" s="5">
        <f>'P&amp;L'!C31</f>
        <v>346372.8116878044</v>
      </c>
      <c r="D13" s="5">
        <f>'P&amp;L'!D31</f>
        <v>385176.6697560973</v>
      </c>
      <c r="E13" s="5">
        <f>'P&amp;L'!E31</f>
        <v>410144.8519999995</v>
      </c>
      <c r="F13" s="5">
        <f>'P&amp;L'!F31</f>
        <v>417467.07703999936</v>
      </c>
      <c r="G13" s="5">
        <f>'P&amp;L'!G31</f>
        <v>424935.7465807994</v>
      </c>
      <c r="H13" s="5">
        <f>'P&amp;L'!H31</f>
        <v>432553.78951241536</v>
      </c>
      <c r="I13" s="5">
        <f>'P&amp;L'!I31</f>
        <v>440324.1933026638</v>
      </c>
    </row>
    <row r="14" spans="1:9" x14ac:dyDescent="0.25">
      <c r="A14" t="s">
        <v>191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192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222</v>
      </c>
      <c r="C16" s="5">
        <f>C13+C14+C15</f>
        <v>346372.8116878044</v>
      </c>
      <c r="D16" s="5">
        <f>D13+D14+D15</f>
        <v>385176.6697560973</v>
      </c>
      <c r="E16" s="5">
        <f>E13+E14+E15</f>
        <v>410144.8519999995</v>
      </c>
      <c r="F16" s="5">
        <f>F13+F14+F15</f>
        <v>417467.07703999936</v>
      </c>
      <c r="G16" s="5">
        <f>G13+G14+G15</f>
        <v>424935.7465807994</v>
      </c>
      <c r="H16" s="5">
        <f>H13+H14+H15</f>
        <v>432553.78951241536</v>
      </c>
      <c r="I16" s="5">
        <f>I13+I14+I15</f>
        <v>440324.1933026638</v>
      </c>
    </row>
    <row r="17" spans="1:9" x14ac:dyDescent="0.25">
      <c r="A17" t="s">
        <v>223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224</v>
      </c>
      <c r="C18" s="5">
        <f>IF(1=MIN(MAX(1,ROUNDUP(vat_months/12,0)),7),-B7,0)</f>
        <v>123648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225</v>
      </c>
      <c r="C19" s="5">
        <f>C16+C17+C18</f>
        <v>470020.8116878044</v>
      </c>
      <c r="D19" s="5">
        <f>C19+D16+D17+D18</f>
        <v>855197.4814439018</v>
      </c>
      <c r="E19" s="5">
        <f>D19+E16+E17+E18</f>
        <v>1265342.3334439013</v>
      </c>
      <c r="F19" s="5">
        <f>E19+F16+F17+F18</f>
        <v>1682809.4104839007</v>
      </c>
      <c r="G19" s="5">
        <f>F19+G16+G17+G18</f>
        <v>2107745.1570647</v>
      </c>
      <c r="H19" s="5">
        <f>G19+H16+H17+H18</f>
        <v>2540298.9465771155</v>
      </c>
      <c r="I19" s="5">
        <f>H19+I16+I17+I18</f>
        <v>2980623.1398797794</v>
      </c>
    </row>
    <row r="20" spans="1:9" x14ac:dyDescent="0.25">
      <c r="A20" t="s">
        <v>226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IF(1=7,'P&amp;L'!I31/cap,0)</f>
        <v>0</v>
      </c>
      <c r="D22" s="5">
        <f>IF(2=7,'P&amp;L'!I31/cap,0)</f>
        <v>0</v>
      </c>
      <c r="E22" s="5">
        <f>IF(3=7,'P&amp;L'!I31/cap,0)</f>
        <v>0</v>
      </c>
      <c r="F22" s="5">
        <f>IF(4=7,'P&amp;L'!I31/cap,0)</f>
        <v>0</v>
      </c>
      <c r="G22" s="5">
        <f>IF(5=7,'P&amp;L'!I31/cap,0)</f>
        <v>0</v>
      </c>
      <c r="H22" s="5">
        <f>IF(6=7,'P&amp;L'!I31/cap,0)</f>
        <v>0</v>
      </c>
      <c r="I22" s="5">
        <f>IF(7=7,'P&amp;L'!I31/cap,0)</f>
        <v>6290345.618609482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-125806.91237218957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6164538.706237293</v>
      </c>
    </row>
    <row r="27" spans="1:9" x14ac:dyDescent="0.25">
      <c r="A27" t="s">
        <v>201</v>
      </c>
      <c r="C27" s="5">
        <f>277098.24935024354</f>
        <v>277098.24935024354</v>
      </c>
      <c r="D27" s="5">
        <f>308141.33580487786</f>
        <v>308141.33580487786</v>
      </c>
      <c r="E27" s="5">
        <f>328115.8815999996</f>
        <v>328115.8815999996</v>
      </c>
      <c r="F27" s="5">
        <f>333973.66163199954</f>
        <v>333973.66163199954</v>
      </c>
      <c r="G27" s="5">
        <f>339948.59726463957</f>
        <v>339948.59726463957</v>
      </c>
      <c r="H27" s="5">
        <f>346043.0316099323</f>
        <v>346043.0316099323</v>
      </c>
      <c r="I27" s="5">
        <f>352259.3546421311</f>
        <v>352259.3546421311</v>
      </c>
    </row>
    <row r="28" spans="1:9" x14ac:dyDescent="0.25">
      <c r="A28" t="s">
        <v>202</v>
      </c>
      <c r="C28" s="5">
        <f>69274.56233756087</f>
        <v>69274.56233756087</v>
      </c>
      <c r="D28" s="5">
        <f>77035.33395121945</f>
        <v>77035.33395121945</v>
      </c>
      <c r="E28" s="5">
        <f>82028.97039999987</f>
        <v>82028.97039999987</v>
      </c>
      <c r="F28" s="5">
        <f>83493.41540799983</f>
        <v>83493.41540799983</v>
      </c>
      <c r="G28" s="5">
        <f>84987.14931615983</f>
        <v>84987.14931615983</v>
      </c>
      <c r="H28" s="5">
        <f>86510.75790248305</f>
        <v>86510.75790248305</v>
      </c>
      <c r="I28" s="5">
        <f>88064.83866053273</f>
        <v>88064.83866053273</v>
      </c>
    </row>
    <row r="29" spans="1:9" x14ac:dyDescent="0.25">
      <c r="A29" t="s">
        <v>227</v>
      </c>
      <c r="C29" s="5">
        <f>IF(1=7,4777559.980366279,0)</f>
        <v>0</v>
      </c>
      <c r="D29" s="5">
        <f>IF(2=7,4777559.980366279,0)</f>
        <v>0</v>
      </c>
      <c r="E29" s="5">
        <f>IF(3=7,4777559.980366279,0)</f>
        <v>0</v>
      </c>
      <c r="F29" s="5">
        <f>IF(4=7,4777559.980366279,0)</f>
        <v>0</v>
      </c>
      <c r="G29" s="5">
        <f>IF(5=7,4777559.980366279,0)</f>
        <v>0</v>
      </c>
      <c r="H29" s="5">
        <f>IF(6=7,4777559.980366279,0)</f>
        <v>0</v>
      </c>
      <c r="I29" s="5">
        <f>IF(7=7,4777559.980366279,0)</f>
        <v>4777559.980366279</v>
      </c>
    </row>
    <row r="30" spans="1:9" x14ac:dyDescent="0.25">
      <c r="A30" t="s">
        <v>228</v>
      </c>
      <c r="C30" s="5">
        <f>IF(1=7,1386978.7258710135,0)</f>
        <v>0</v>
      </c>
      <c r="D30" s="5">
        <f>IF(2=7,1386978.7258710135,0)</f>
        <v>0</v>
      </c>
      <c r="E30" s="5">
        <f>IF(3=7,1386978.7258710135,0)</f>
        <v>0</v>
      </c>
      <c r="F30" s="5">
        <f>IF(4=7,1386978.7258710135,0)</f>
        <v>0</v>
      </c>
      <c r="G30" s="5">
        <f>IF(5=7,1386978.7258710135,0)</f>
        <v>0</v>
      </c>
      <c r="H30" s="5">
        <f>IF(6=7,1386978.7258710135,0)</f>
        <v>0</v>
      </c>
      <c r="I30" s="5">
        <f>IF(7=7,1386978.7258710135,0)</f>
        <v>1386978.7258710135</v>
      </c>
    </row>
    <row r="31" spans="1:9" x14ac:dyDescent="0.25">
      <c r="A31" t="s">
        <v>229</v>
      </c>
      <c r="C31" s="5">
        <f>(C17+C18)*(1-gp_pct)</f>
        <v>98918.40000000001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230</v>
      </c>
      <c r="C32" s="5">
        <f>(C17+C18)*gp_pct</f>
        <v>24729.599999999995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231</v>
      </c>
      <c r="C33" s="5">
        <f>SUM(C27:C32)</f>
        <v>470020.8116878044</v>
      </c>
      <c r="D33" s="5">
        <f>SUM(D27:D32)</f>
        <v>385176.6697560973</v>
      </c>
      <c r="E33" s="5">
        <f>SUM(E27:E32)</f>
        <v>410144.8519999995</v>
      </c>
      <c r="F33" s="5">
        <f>SUM(F27:F32)</f>
        <v>417467.07703999936</v>
      </c>
      <c r="G33" s="5">
        <f>SUM(G27:G32)</f>
        <v>424935.7465807994</v>
      </c>
      <c r="H33" s="5">
        <f>SUM(H27:H32)</f>
        <v>432553.78951241536</v>
      </c>
      <c r="I33" s="5">
        <f>SUM(I27:I32)</f>
        <v>6604862.899539957</v>
      </c>
    </row>
    <row r="35" spans="1:9" x14ac:dyDescent="0.25">
      <c r="A35" t="s">
        <v>232</v>
      </c>
      <c r="C35" s="5">
        <f>C16+C17+C18+C25</f>
        <v>470020.8116878044</v>
      </c>
      <c r="D35" s="5">
        <f>D16+D17+D18+D25</f>
        <v>385176.6697560973</v>
      </c>
      <c r="E35" s="5">
        <f>E16+E17+E18+E25</f>
        <v>410144.8519999995</v>
      </c>
      <c r="F35" s="5">
        <f>F16+F17+F18+F25</f>
        <v>417467.07703999936</v>
      </c>
      <c r="G35" s="5">
        <f>G16+G17+G18+G25</f>
        <v>424935.7465807994</v>
      </c>
      <c r="H35" s="5">
        <f>H16+H17+H18+H25</f>
        <v>432553.78951241536</v>
      </c>
      <c r="I35" s="5">
        <f>I16+I17+I18+I25</f>
        <v>6604862.899539957</v>
      </c>
    </row>
    <row r="36" spans="1:9" x14ac:dyDescent="0.25">
      <c r="A36" t="s">
        <v>233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234</v>
      </c>
      <c r="B38" s="5">
        <f>-B9</f>
        <v>-3938958.8040404045</v>
      </c>
      <c r="C38" s="5">
        <f>C27+C29+C31</f>
        <v>376016.64935024356</v>
      </c>
      <c r="D38" s="5">
        <f>D27+D29+D31</f>
        <v>308141.33580487786</v>
      </c>
      <c r="E38" s="5">
        <f>E27+E29+E31</f>
        <v>328115.8815999996</v>
      </c>
      <c r="F38" s="5">
        <f>F27+F29+F31</f>
        <v>333973.66163199954</v>
      </c>
      <c r="G38" s="5">
        <f>G27+G29+G31</f>
        <v>339948.59726463957</v>
      </c>
      <c r="H38" s="5">
        <f>H27+H29+H31</f>
        <v>346043.0316099323</v>
      </c>
      <c r="I38" s="5">
        <f>I27+I29+I31</f>
        <v>5129819.335008411</v>
      </c>
    </row>
    <row r="39" spans="1:9" x14ac:dyDescent="0.25">
      <c r="A39" t="s">
        <v>235</v>
      </c>
      <c r="B39" s="5">
        <f>B38</f>
        <v>-3938958.8040404045</v>
      </c>
      <c r="C39" s="5">
        <f>B39+C38</f>
        <v>-3562942.154690161</v>
      </c>
      <c r="D39" s="5">
        <f>C39+D38</f>
        <v>-3254800.818885283</v>
      </c>
      <c r="E39" s="5">
        <f>D39+E38</f>
        <v>-2926684.9372852836</v>
      </c>
      <c r="F39" s="5">
        <f>E39+F38</f>
        <v>-2592711.275653284</v>
      </c>
      <c r="G39" s="5">
        <f>F39+G38</f>
        <v>-2252762.6783886445</v>
      </c>
      <c r="H39" s="5">
        <f>G39+H38</f>
        <v>-1906719.646778712</v>
      </c>
      <c r="I39" s="5">
        <f>H39+I38</f>
        <v>3223099.6882296987</v>
      </c>
    </row>
    <row r="42" spans="1:1" x14ac:dyDescent="0.25">
      <c r="A42" s="3" t="s">
        <v>236</v>
      </c>
    </row>
    <row r="43" spans="2:9" x14ac:dyDescent="0.25">
      <c r="B43" s="3" t="s">
        <v>216</v>
      </c>
      <c r="C43" s="3" t="s">
        <v>152</v>
      </c>
      <c r="D43" s="3" t="s">
        <v>153</v>
      </c>
      <c r="E43" s="3" t="s">
        <v>154</v>
      </c>
      <c r="F43" s="3" t="s">
        <v>155</v>
      </c>
      <c r="G43" s="3" t="s">
        <v>156</v>
      </c>
      <c r="H43" s="3" t="s">
        <v>157</v>
      </c>
      <c r="I43" s="3" t="s">
        <v>158</v>
      </c>
    </row>
    <row r="44" spans="1:2" x14ac:dyDescent="0.25">
      <c r="A44" t="s">
        <v>217</v>
      </c>
      <c r="B44" s="5">
        <f>-IF(Assumptions!$C$47&gt;0,tpc,cost_base)</f>
        <v>-4849030.6122448975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-61672.82015306123</v>
      </c>
    </row>
    <row r="46" spans="1:2" x14ac:dyDescent="0.25">
      <c r="A46" t="s">
        <v>17</v>
      </c>
      <c r="B46" s="5">
        <f>-vat_float</f>
        <v>-123648</v>
      </c>
    </row>
    <row r="47" spans="1:2" x14ac:dyDescent="0.25">
      <c r="A47" t="s">
        <v>218</v>
      </c>
      <c r="B47" s="5">
        <f>Assumptions!$C$47*tpc</f>
        <v>2666966.836734694</v>
      </c>
    </row>
    <row r="48" spans="1:2" x14ac:dyDescent="0.25">
      <c r="A48" t="s">
        <v>219</v>
      </c>
      <c r="B48" s="5">
        <f>(-(B44+B47+B45)-B46)*(1-gp_pct)</f>
        <v>1893907.676530612</v>
      </c>
    </row>
    <row r="49" spans="1:2" x14ac:dyDescent="0.25">
      <c r="A49" t="s">
        <v>220</v>
      </c>
      <c r="B49" s="5">
        <f>(-(B44+B47+B45)-B46)*gp_pct</f>
        <v>473476.919132653</v>
      </c>
    </row>
    <row r="50" spans="1:2" x14ac:dyDescent="0.25">
      <c r="A50" s="3" t="s">
        <v>221</v>
      </c>
      <c r="B50" s="5">
        <f>SUM(B44:B49)</f>
        <v>0</v>
      </c>
    </row>
    <row r="52" spans="1:9" x14ac:dyDescent="0.25">
      <c r="A52" t="s">
        <v>186</v>
      </c>
      <c r="C52" s="5">
        <f>'P&amp;L'!C31</f>
        <v>346372.8116878044</v>
      </c>
      <c r="D52" s="5">
        <f>'P&amp;L'!D31</f>
        <v>385176.6697560973</v>
      </c>
      <c r="E52" s="5">
        <f>'P&amp;L'!E31</f>
        <v>410144.8519999995</v>
      </c>
      <c r="F52" s="5">
        <f>'P&amp;L'!F31</f>
        <v>417467.07703999936</v>
      </c>
      <c r="G52" s="5">
        <f>'P&amp;L'!G31</f>
        <v>424935.7465807994</v>
      </c>
      <c r="H52" s="5">
        <f>'P&amp;L'!H31</f>
        <v>432553.78951241536</v>
      </c>
      <c r="I52" s="5">
        <f>'P&amp;L'!I31</f>
        <v>440324.1933026638</v>
      </c>
    </row>
    <row r="53" spans="1:9" x14ac:dyDescent="0.25">
      <c r="A53" t="s">
        <v>191</v>
      </c>
      <c r="C53" s="5">
        <f>IF(B47=0,0,CUMIPMT(Assumptions!$C$48/12,Assumptions!$C$49*12,B47,1,12,0))</f>
        <v>-71514.66121611175</v>
      </c>
      <c r="D53" s="5">
        <f>IF(B47=0,0,CUMIPMT(Assumptions!$C$48/12,Assumptions!$C$49*12,B47,13,24,0))</f>
        <v>-67457.8931853389</v>
      </c>
      <c r="E53" s="5">
        <f>IF(B47=0,0,CUMIPMT(Assumptions!$C$48/12,Assumptions!$C$49*12,B47,25,36,0))</f>
        <v>-63288.147101861854</v>
      </c>
      <c r="F53" s="5">
        <f>IF(B47=0,0,CUMIPMT(Assumptions!$C$48/12,Assumptions!$C$49*12,B47,37,48,0))</f>
        <v>-59002.27660870491</v>
      </c>
      <c r="G53" s="5">
        <f>IF(B47=0,0,CUMIPMT(Assumptions!$C$48/12,Assumptions!$C$49*12,B47,49,60,0))</f>
        <v>-54597.0477251283</v>
      </c>
      <c r="H53" s="5">
        <f>IF(B47=0,0,CUMIPMT(Assumptions!$C$48/12,Assumptions!$C$49*12,B47,61,72,0))</f>
        <v>-50069.136406369966</v>
      </c>
      <c r="I53" s="5">
        <f>IF(B47=0,0,CUMIPMT(Assumptions!$C$48/12,Assumptions!$C$49*12,B47,73,84,0))</f>
        <v>-45415.12603542774</v>
      </c>
    </row>
    <row r="54" spans="1:9" x14ac:dyDescent="0.25">
      <c r="A54" t="s">
        <v>192</v>
      </c>
      <c r="C54" s="5">
        <f>IF(B47=0,0,CUMPRINC(Assumptions!$C$48/12,Assumptions!$C$49*12,B47,1,12,0))</f>
        <v>-145668.70698858603</v>
      </c>
      <c r="D54" s="5">
        <f>IF(B47=0,0,CUMPRINC(Assumptions!$C$48/12,Assumptions!$C$49*12,B47,13,24,0))</f>
        <v>-149725.47501935886</v>
      </c>
      <c r="E54" s="5">
        <f>IF(B47=0,0,CUMPRINC(Assumptions!$C$48/12,Assumptions!$C$49*12,B47,25,36,0))</f>
        <v>-153895.22110283587</v>
      </c>
      <c r="F54" s="5">
        <f>IF(B47=0,0,CUMPRINC(Assumptions!$C$48/12,Assumptions!$C$49*12,B47,37,48,0))</f>
        <v>-158181.09159599282</v>
      </c>
      <c r="G54" s="5">
        <f>IF(B47=0,0,CUMPRINC(Assumptions!$C$48/12,Assumptions!$C$49*12,B47,49,60,0))</f>
        <v>-162586.32047956943</v>
      </c>
      <c r="H54" s="5">
        <f>IF(B47=0,0,CUMPRINC(Assumptions!$C$48/12,Assumptions!$C$49*12,B47,61,72,0))</f>
        <v>-167114.23179832776</v>
      </c>
      <c r="I54" s="5">
        <f>IF(B47=0,0,CUMPRINC(Assumptions!$C$48/12,Assumptions!$C$49*12,B47,73,84,0))</f>
        <v>-171768.24216927003</v>
      </c>
    </row>
    <row r="55" spans="1:9" x14ac:dyDescent="0.25">
      <c r="A55" t="s">
        <v>222</v>
      </c>
      <c r="C55" s="5">
        <f>C52+C53+C54</f>
        <v>129189.44348310665</v>
      </c>
      <c r="D55" s="5">
        <f>D52+D53+D54</f>
        <v>167993.30155139958</v>
      </c>
      <c r="E55" s="5">
        <f>E52+E53+E54</f>
        <v>192961.48379530178</v>
      </c>
      <c r="F55" s="5">
        <f>F52+F53+F54</f>
        <v>200283.70883530166</v>
      </c>
      <c r="G55" s="5">
        <f>G52+G53+G54</f>
        <v>207752.37837610167</v>
      </c>
      <c r="H55" s="5">
        <f>H52+H53+H54</f>
        <v>215370.42130771762</v>
      </c>
      <c r="I55" s="5">
        <f>I52+I53+I54</f>
        <v>223140.82509796604</v>
      </c>
    </row>
    <row r="56" spans="1:9" x14ac:dyDescent="0.25">
      <c r="A56" t="s">
        <v>223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224</v>
      </c>
      <c r="C57" s="5">
        <f>IF(1=MIN(MAX(1,ROUNDUP(vat_months/12,0)),7),-B46,0)</f>
        <v>123648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225</v>
      </c>
      <c r="C58" s="5">
        <f>C55+C56+C57</f>
        <v>252837.44348310665</v>
      </c>
      <c r="D58" s="5">
        <f>C58+D55+D56+D57</f>
        <v>420830.7450345062</v>
      </c>
      <c r="E58" s="5">
        <f>D58+E55+E56+E57</f>
        <v>613792.228829808</v>
      </c>
      <c r="F58" s="5">
        <f>E58+F55+F56+F57</f>
        <v>814075.9376651096</v>
      </c>
      <c r="G58" s="5">
        <f>F58+G55+G56+G57</f>
        <v>1021828.3160412114</v>
      </c>
      <c r="H58" s="5">
        <f>G58+H55+H56+H57</f>
        <v>1237198.737348929</v>
      </c>
      <c r="I58" s="5">
        <f>H58+I55+I56+I57</f>
        <v>1460339.562446895</v>
      </c>
    </row>
    <row r="59" spans="1:9" x14ac:dyDescent="0.25">
      <c r="A59" t="s">
        <v>226</v>
      </c>
      <c r="C59" s="7">
        <f>IF((C53+C54)=0,0,-C52/(C53+C54))</f>
        <v>1.5948404085958556</v>
      </c>
      <c r="D59" s="7">
        <f>IF((D53+D54)=0,0,-D52/(D53+D54))</f>
        <v>1.7735090533869242</v>
      </c>
      <c r="E59" s="7">
        <f>IF((E53+E54)=0,0,-E52/(E53+E54))</f>
        <v>1.8884726551134128</v>
      </c>
      <c r="F59" s="7">
        <f>IF((F53+F54)=0,0,-F52/(F53+F54))</f>
        <v>1.9221871384116855</v>
      </c>
      <c r="G59" s="7">
        <f>IF((G53+G54)=0,0,-G52/(G53+G54))</f>
        <v>1.9565759113759242</v>
      </c>
      <c r="H59" s="7">
        <f>IF((H53+H54)=0,0,-H52/(H53+H54))</f>
        <v>1.9916524597994476</v>
      </c>
      <c r="I59" s="7">
        <f>IF((I53+I54)=0,0,-I52/(I53+I54))</f>
        <v>2.0274305391914416</v>
      </c>
    </row>
    <row r="61" spans="1:9" x14ac:dyDescent="0.25">
      <c r="A61" t="s">
        <v>26</v>
      </c>
      <c r="C61" s="5">
        <f>IF(1=7,'P&amp;L'!I31/cap,0)</f>
        <v>0</v>
      </c>
      <c r="D61" s="5">
        <f>IF(2=7,'P&amp;L'!I31/cap,0)</f>
        <v>0</v>
      </c>
      <c r="E61" s="5">
        <f>IF(3=7,'P&amp;L'!I31/cap,0)</f>
        <v>0</v>
      </c>
      <c r="F61" s="5">
        <f>IF(4=7,'P&amp;L'!I31/cap,0)</f>
        <v>0</v>
      </c>
      <c r="G61" s="5">
        <f>IF(5=7,'P&amp;L'!I31/cap,0)</f>
        <v>0</v>
      </c>
      <c r="H61" s="5">
        <f>IF(6=7,'P&amp;L'!I31/cap,0)</f>
        <v>0</v>
      </c>
      <c r="I61" s="5">
        <f>IF(7=7,'P&amp;L'!I31/cap,0)</f>
        <v>6290345.618609482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-125806.91237218957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-1558027.5475807525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4606511.15865654</v>
      </c>
    </row>
    <row r="66" spans="1:9" x14ac:dyDescent="0.25">
      <c r="A66" t="s">
        <v>201</v>
      </c>
      <c r="C66" s="5">
        <f>103351.55478648533</f>
        <v>103351.55478648533</v>
      </c>
      <c r="D66" s="5">
        <f>134394.64124111968</f>
        <v>134394.64124111968</v>
      </c>
      <c r="E66" s="5">
        <f>154369.18703624143</f>
        <v>154369.18703624143</v>
      </c>
      <c r="F66" s="5">
        <f>160226.96706824133</f>
        <v>160226.96706824133</v>
      </c>
      <c r="G66" s="5">
        <f>166201.90270088136</f>
        <v>166201.90270088136</v>
      </c>
      <c r="H66" s="5">
        <f>172296.3370461741</f>
        <v>172296.3370461741</v>
      </c>
      <c r="I66" s="5">
        <f>178512.66007837284</f>
        <v>178512.66007837284</v>
      </c>
    </row>
    <row r="67" spans="1:9" x14ac:dyDescent="0.25">
      <c r="A67" t="s">
        <v>202</v>
      </c>
      <c r="C67" s="5">
        <f>25837.888696621318</f>
        <v>25837.888696621318</v>
      </c>
      <c r="D67" s="5">
        <f>33598.6603102799</f>
        <v>33598.6603102799</v>
      </c>
      <c r="E67" s="5">
        <f>38592.29675906035</f>
        <v>38592.29675906035</v>
      </c>
      <c r="F67" s="5">
        <f>40056.74176706033</f>
        <v>40056.74176706033</v>
      </c>
      <c r="G67" s="5">
        <f>41550.47567522031</f>
        <v>41550.47567522031</v>
      </c>
      <c r="H67" s="5">
        <f>43074.084261543525</f>
        <v>43074.084261543525</v>
      </c>
      <c r="I67" s="5">
        <f>44628.1650195932</f>
        <v>44628.1650195932</v>
      </c>
    </row>
    <row r="68" spans="1:9" x14ac:dyDescent="0.25">
      <c r="A68" t="s">
        <v>227</v>
      </c>
      <c r="C68" s="5">
        <f>IF(1=7,3305007.886045674,0)</f>
        <v>0</v>
      </c>
      <c r="D68" s="5">
        <f>IF(2=7,3305007.886045674,0)</f>
        <v>0</v>
      </c>
      <c r="E68" s="5">
        <f>IF(3=7,3305007.886045674,0)</f>
        <v>0</v>
      </c>
      <c r="F68" s="5">
        <f>IF(4=7,3305007.886045674,0)</f>
        <v>0</v>
      </c>
      <c r="G68" s="5">
        <f>IF(5=7,3305007.886045674,0)</f>
        <v>0</v>
      </c>
      <c r="H68" s="5">
        <f>IF(6=7,3305007.886045674,0)</f>
        <v>0</v>
      </c>
      <c r="I68" s="5">
        <f>IF(7=7,3305007.886045674,0)</f>
        <v>3305007.886045674</v>
      </c>
    </row>
    <row r="69" spans="1:9" x14ac:dyDescent="0.25">
      <c r="A69" t="s">
        <v>228</v>
      </c>
      <c r="C69" s="5">
        <f>IF(1=7,1301503.2726108665,0)</f>
        <v>0</v>
      </c>
      <c r="D69" s="5">
        <f>IF(2=7,1301503.2726108665,0)</f>
        <v>0</v>
      </c>
      <c r="E69" s="5">
        <f>IF(3=7,1301503.2726108665,0)</f>
        <v>0</v>
      </c>
      <c r="F69" s="5">
        <f>IF(4=7,1301503.2726108665,0)</f>
        <v>0</v>
      </c>
      <c r="G69" s="5">
        <f>IF(5=7,1301503.2726108665,0)</f>
        <v>0</v>
      </c>
      <c r="H69" s="5">
        <f>IF(6=7,1301503.2726108665,0)</f>
        <v>0</v>
      </c>
      <c r="I69" s="5">
        <f>IF(7=7,1301503.2726108665,0)</f>
        <v>1301503.2726108665</v>
      </c>
    </row>
    <row r="70" spans="1:9" x14ac:dyDescent="0.25">
      <c r="A70" t="s">
        <v>229</v>
      </c>
      <c r="C70" s="5">
        <f>(C56+C57)*(1-gp_pct)</f>
        <v>98918.40000000001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230</v>
      </c>
      <c r="C71" s="5">
        <f>(C56+C57)*gp_pct</f>
        <v>24729.599999999995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231</v>
      </c>
      <c r="C72" s="5">
        <f>SUM(C66:C71)</f>
        <v>252837.44348310665</v>
      </c>
      <c r="D72" s="5">
        <f>SUM(D66:D71)</f>
        <v>167993.30155139958</v>
      </c>
      <c r="E72" s="5">
        <f>SUM(E66:E71)</f>
        <v>192961.48379530178</v>
      </c>
      <c r="F72" s="5">
        <f>SUM(F66:F71)</f>
        <v>200283.70883530166</v>
      </c>
      <c r="G72" s="5">
        <f>SUM(G66:G71)</f>
        <v>207752.37837610167</v>
      </c>
      <c r="H72" s="5">
        <f>SUM(H66:H71)</f>
        <v>215370.42130771762</v>
      </c>
      <c r="I72" s="5">
        <f>SUM(I66:I71)</f>
        <v>4829651.983754506</v>
      </c>
    </row>
    <row r="74" spans="1:9" x14ac:dyDescent="0.25">
      <c r="A74" t="s">
        <v>232</v>
      </c>
      <c r="C74" s="5">
        <f>C55+C56+C57+C64</f>
        <v>252837.44348310665</v>
      </c>
      <c r="D74" s="5">
        <f>D55+D56+D57+D64</f>
        <v>167993.30155139958</v>
      </c>
      <c r="E74" s="5">
        <f>E55+E56+E57+E64</f>
        <v>192961.48379530178</v>
      </c>
      <c r="F74" s="5">
        <f>F55+F56+F57+F64</f>
        <v>200283.70883530166</v>
      </c>
      <c r="G74" s="5">
        <f>G55+G56+G57+G64</f>
        <v>207752.37837610167</v>
      </c>
      <c r="H74" s="5">
        <f>H55+H56+H57+H64</f>
        <v>215370.42130771762</v>
      </c>
      <c r="I74" s="5">
        <f>I55+I56+I57+I64</f>
        <v>4829651.983754506</v>
      </c>
    </row>
    <row r="75" spans="1:9" x14ac:dyDescent="0.25">
      <c r="A75" t="s">
        <v>233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234</v>
      </c>
      <c r="B77" s="5">
        <f>-B48</f>
        <v>-1893907.676530612</v>
      </c>
      <c r="C77" s="5">
        <f>C66+C68+C70</f>
        <v>202269.95478648535</v>
      </c>
      <c r="D77" s="5">
        <f>D66+D68+D70</f>
        <v>134394.64124111968</v>
      </c>
      <c r="E77" s="5">
        <f>E66+E68+E70</f>
        <v>154369.18703624143</v>
      </c>
      <c r="F77" s="5">
        <f>F66+F68+F70</f>
        <v>160226.96706824133</v>
      </c>
      <c r="G77" s="5">
        <f>G66+G68+G70</f>
        <v>166201.90270088136</v>
      </c>
      <c r="H77" s="5">
        <f>H66+H68+H70</f>
        <v>172296.3370461741</v>
      </c>
      <c r="I77" s="5">
        <f>I66+I68+I70</f>
        <v>3483520.5461240467</v>
      </c>
    </row>
    <row r="78" spans="1:9" x14ac:dyDescent="0.25">
      <c r="A78" t="s">
        <v>235</v>
      </c>
      <c r="B78" s="5">
        <f>B77</f>
        <v>-1893907.676530612</v>
      </c>
      <c r="C78" s="5">
        <f>B78+C77</f>
        <v>-1691637.7217441266</v>
      </c>
      <c r="D78" s="5">
        <f>C78+D77</f>
        <v>-1557243.080503007</v>
      </c>
      <c r="E78" s="5">
        <f>D78+E77</f>
        <v>-1402873.8934667655</v>
      </c>
      <c r="F78" s="5">
        <f>E78+F77</f>
        <v>-1242646.926398524</v>
      </c>
      <c r="G78" s="5">
        <f>F78+G77</f>
        <v>-1076445.0236976426</v>
      </c>
      <c r="H78" s="5">
        <f>G78+H77</f>
        <v>-904148.6866514685</v>
      </c>
      <c r="I78" s="5">
        <f>H78+I77</f>
        <v>2579371.8594725784</v>
      </c>
    </row>
    <row r="81" spans="1:1" x14ac:dyDescent="0.25">
      <c r="A81" s="3" t="s">
        <v>237</v>
      </c>
    </row>
    <row r="82" spans="2:9" x14ac:dyDescent="0.25">
      <c r="B82" s="3" t="s">
        <v>216</v>
      </c>
      <c r="C82" s="3" t="s">
        <v>152</v>
      </c>
      <c r="D82" s="3" t="s">
        <v>153</v>
      </c>
      <c r="E82" s="3" t="s">
        <v>154</v>
      </c>
      <c r="F82" s="3" t="s">
        <v>155</v>
      </c>
      <c r="G82" s="3" t="s">
        <v>156</v>
      </c>
      <c r="H82" s="3" t="s">
        <v>157</v>
      </c>
      <c r="I82" s="3" t="s">
        <v>158</v>
      </c>
    </row>
    <row r="83" spans="1:2" x14ac:dyDescent="0.25">
      <c r="A83" t="s">
        <v>217</v>
      </c>
      <c r="B83" s="5">
        <f>-IF(Assumptions!$D$47&gt;0,tpc,cost_base)</f>
        <v>-4849030.612244898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-71613.33290816327</v>
      </c>
    </row>
    <row r="85" spans="1:2" x14ac:dyDescent="0.25">
      <c r="A85" t="s">
        <v>17</v>
      </c>
      <c r="B85" s="5">
        <f>-vat_float</f>
        <v>-123648</v>
      </c>
    </row>
    <row r="86" spans="1:2" x14ac:dyDescent="0.25">
      <c r="A86" t="s">
        <v>218</v>
      </c>
      <c r="B86" s="5">
        <f>Assumptions!$D$47*tpc</f>
        <v>3151869.8979591834</v>
      </c>
    </row>
    <row r="87" spans="1:2" x14ac:dyDescent="0.25">
      <c r="A87" t="s">
        <v>219</v>
      </c>
      <c r="B87" s="5">
        <f>(-(B83+B86+B84)-B85)*(1-gp_pct)</f>
        <v>1513937.637755102</v>
      </c>
    </row>
    <row r="88" spans="1:2" x14ac:dyDescent="0.25">
      <c r="A88" t="s">
        <v>220</v>
      </c>
      <c r="B88" s="5">
        <f>(-(B83+B86+B84)-B85)*gp_pct</f>
        <v>378484.4094387755</v>
      </c>
    </row>
    <row r="89" spans="1:2" x14ac:dyDescent="0.25">
      <c r="A89" s="3" t="s">
        <v>221</v>
      </c>
      <c r="B89" s="5">
        <f>SUM(B83:B88)</f>
        <v>0</v>
      </c>
    </row>
    <row r="91" spans="1:9" x14ac:dyDescent="0.25">
      <c r="A91" t="s">
        <v>186</v>
      </c>
      <c r="C91" s="5">
        <f>'P&amp;L'!C31</f>
        <v>346372.8116878044</v>
      </c>
      <c r="D91" s="5">
        <f>'P&amp;L'!D31</f>
        <v>385176.6697560973</v>
      </c>
      <c r="E91" s="5">
        <f>'P&amp;L'!E31</f>
        <v>410144.8519999995</v>
      </c>
      <c r="F91" s="5">
        <f>'P&amp;L'!F31</f>
        <v>417467.07703999936</v>
      </c>
      <c r="G91" s="5">
        <f>'P&amp;L'!G31</f>
        <v>424935.7465807994</v>
      </c>
      <c r="H91" s="5">
        <f>'P&amp;L'!H31</f>
        <v>432553.78951241536</v>
      </c>
      <c r="I91" s="5">
        <f>'P&amp;L'!I31</f>
        <v>440324.1933026638</v>
      </c>
    </row>
    <row r="92" spans="1:9" x14ac:dyDescent="0.25">
      <c r="A92" t="s">
        <v>191</v>
      </c>
      <c r="C92" s="5">
        <f>IF(B86=0,0,CUMIPMT(Assumptions!$D$48/12,Assumptions!$D$49*12,B86,1,12,0))</f>
        <v>-84517.32689176842</v>
      </c>
      <c r="D92" s="5">
        <f>IF(B86=0,0,CUMIPMT(Assumptions!$D$48/12,Assumptions!$D$49*12,B86,13,24,0))</f>
        <v>-79722.96467358232</v>
      </c>
      <c r="E92" s="5">
        <f>IF(B86=0,0,CUMIPMT(Assumptions!$D$48/12,Assumptions!$D$49*12,B86,25,36,0))</f>
        <v>-74795.08293856404</v>
      </c>
      <c r="F92" s="5">
        <f>IF(B86=0,0,CUMIPMT(Assumptions!$D$48/12,Assumptions!$D$49*12,B86,37,48,0))</f>
        <v>-69729.96326483309</v>
      </c>
      <c r="G92" s="5">
        <f>IF(B86=0,0,CUMIPMT(Assumptions!$D$48/12,Assumptions!$D$49*12,B86,49,60,0))</f>
        <v>-64523.78367515163</v>
      </c>
      <c r="H92" s="5">
        <f>IF(B86=0,0,CUMIPMT(Assumptions!$D$48/12,Assumptions!$D$49*12,B86,61,72,0))</f>
        <v>-59172.61575298269</v>
      </c>
      <c r="I92" s="5">
        <f>IF(B86=0,0,CUMIPMT(Assumptions!$D$48/12,Assumptions!$D$49*12,B86,73,84,0))</f>
        <v>-53672.42167823276</v>
      </c>
    </row>
    <row r="93" spans="1:9" x14ac:dyDescent="0.25">
      <c r="A93" t="s">
        <v>192</v>
      </c>
      <c r="C93" s="5">
        <f>IF(B86=0,0,CUMPRINC(Assumptions!$D$48/12,Assumptions!$D$49*12,B86,1,12,0))</f>
        <v>-172153.92644105616</v>
      </c>
      <c r="D93" s="5">
        <f>IF(B86=0,0,CUMPRINC(Assumptions!$D$48/12,Assumptions!$D$49*12,B86,13,24,0))</f>
        <v>-176948.28865924227</v>
      </c>
      <c r="E93" s="5">
        <f>IF(B86=0,0,CUMPRINC(Assumptions!$D$48/12,Assumptions!$D$49*12,B86,25,36,0))</f>
        <v>-181876.17039426055</v>
      </c>
      <c r="F93" s="5">
        <f>IF(B86=0,0,CUMPRINC(Assumptions!$D$48/12,Assumptions!$D$49*12,B86,37,48,0))</f>
        <v>-186941.29006799147</v>
      </c>
      <c r="G93" s="5">
        <f>IF(B86=0,0,CUMPRINC(Assumptions!$D$48/12,Assumptions!$D$49*12,B86,49,60,0))</f>
        <v>-192147.46965767298</v>
      </c>
      <c r="H93" s="5">
        <f>IF(B86=0,0,CUMPRINC(Assumptions!$D$48/12,Assumptions!$D$49*12,B86,61,72,0))</f>
        <v>-197498.6375798419</v>
      </c>
      <c r="I93" s="5">
        <f>IF(B86=0,0,CUMPRINC(Assumptions!$D$48/12,Assumptions!$D$49*12,B86,73,84,0))</f>
        <v>-202998.8316545918</v>
      </c>
    </row>
    <row r="94" spans="1:9" x14ac:dyDescent="0.25">
      <c r="A94" t="s">
        <v>222</v>
      </c>
      <c r="C94" s="5">
        <f>C91+C92+C93</f>
        <v>89701.55835497982</v>
      </c>
      <c r="D94" s="5">
        <f>D91+D92+D93</f>
        <v>128505.41642327275</v>
      </c>
      <c r="E94" s="5">
        <f>E91+E92+E93</f>
        <v>153473.59866717493</v>
      </c>
      <c r="F94" s="5">
        <f>F91+F92+F93</f>
        <v>160795.8237071748</v>
      </c>
      <c r="G94" s="5">
        <f>G91+G92+G93</f>
        <v>168264.49324797478</v>
      </c>
      <c r="H94" s="5">
        <f>H91+H92+H93</f>
        <v>175882.5361795908</v>
      </c>
      <c r="I94" s="5">
        <f>I91+I92+I93</f>
        <v>183652.9399698392</v>
      </c>
    </row>
    <row r="95" spans="1:9" x14ac:dyDescent="0.25">
      <c r="A95" t="s">
        <v>223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</row>
    <row r="96" spans="1:9" x14ac:dyDescent="0.25">
      <c r="A96" t="s">
        <v>224</v>
      </c>
      <c r="C96" s="5">
        <f>IF(1=MIN(MAX(1,ROUNDUP(vat_months/12,0)),7),-B85,0)</f>
        <v>123648</v>
      </c>
      <c r="D96" s="5">
        <f>IF(2=MIN(MAX(1,ROUNDUP(vat_months/12,0)),7),-B85,0)</f>
        <v>0</v>
      </c>
      <c r="E96" s="5">
        <f>IF(3=MIN(MAX(1,ROUNDUP(vat_months/12,0)),7),-B85,0)</f>
        <v>0</v>
      </c>
      <c r="F96" s="5">
        <f>IF(4=MIN(MAX(1,ROUNDUP(vat_months/12,0)),7),-B85,0)</f>
        <v>0</v>
      </c>
      <c r="G96" s="5">
        <f>IF(5=MIN(MAX(1,ROUNDUP(vat_months/12,0)),7),-B85,0)</f>
        <v>0</v>
      </c>
      <c r="H96" s="5">
        <f>IF(6=MIN(MAX(1,ROUNDUP(vat_months/12,0)),7),-B85,0)</f>
        <v>0</v>
      </c>
      <c r="I96" s="5">
        <f>IF(7=MIN(MAX(1,ROUNDUP(vat_months/12,0)),7),-B85,0)</f>
        <v>0</v>
      </c>
    </row>
    <row r="97" spans="1:9" x14ac:dyDescent="0.25">
      <c r="A97" t="s">
        <v>225</v>
      </c>
      <c r="C97" s="5">
        <f>C94+C95+C96</f>
        <v>213349.55835497982</v>
      </c>
      <c r="D97" s="5">
        <f>C97+D94+D95+D96</f>
        <v>341854.97477825254</v>
      </c>
      <c r="E97" s="5">
        <f>D97+E94+E95+E96</f>
        <v>495328.57344542746</v>
      </c>
      <c r="F97" s="5">
        <f>E97+F94+F95+F96</f>
        <v>656124.3971526022</v>
      </c>
      <c r="G97" s="5">
        <f>F97+G94+G95+G96</f>
        <v>824388.890400577</v>
      </c>
      <c r="H97" s="5">
        <f>G97+H94+H95+H96</f>
        <v>1000271.4265801678</v>
      </c>
      <c r="I97" s="5">
        <f>H97+I94+I95+I96</f>
        <v>1183924.3665500071</v>
      </c>
    </row>
    <row r="98" spans="1:9" x14ac:dyDescent="0.25">
      <c r="A98" t="s">
        <v>226</v>
      </c>
      <c r="C98" s="7">
        <f>IF((C92+C93)=0,0,-C91/(C92+C93))</f>
        <v>1.3494803457349553</v>
      </c>
      <c r="D98" s="7">
        <f>IF((D92+D93)=0,0,-D91/(D92+D93))</f>
        <v>1.5006615067120128</v>
      </c>
      <c r="E98" s="7">
        <f>IF((E92+E93)=0,0,-E91/(E92+E93))</f>
        <v>1.5979384004805801</v>
      </c>
      <c r="F98" s="7">
        <f>IF((F92+F93)=0,0,-F91/(F92+F93))</f>
        <v>1.6264660401945032</v>
      </c>
      <c r="G98" s="7">
        <f>IF((G92+G93)=0,0,-G91/(G92+G93))</f>
        <v>1.655564232702705</v>
      </c>
      <c r="H98" s="7">
        <f>IF((H92+H93)=0,0,-H91/(H92+H93))</f>
        <v>1.685244389061071</v>
      </c>
      <c r="I98" s="7">
        <f>IF((I92+I93)=0,0,-I91/(I92+I93))</f>
        <v>1.715518148546605</v>
      </c>
    </row>
    <row r="100" spans="1:9" x14ac:dyDescent="0.25">
      <c r="A100" t="s">
        <v>26</v>
      </c>
      <c r="C100" s="5">
        <f>IF(1=7,'P&amp;L'!I31/cap,0)</f>
        <v>0</v>
      </c>
      <c r="D100" s="5">
        <f>IF(2=7,'P&amp;L'!I31/cap,0)</f>
        <v>0</v>
      </c>
      <c r="E100" s="5">
        <f>IF(3=7,'P&amp;L'!I31/cap,0)</f>
        <v>0</v>
      </c>
      <c r="F100" s="5">
        <f>IF(4=7,'P&amp;L'!I31/cap,0)</f>
        <v>0</v>
      </c>
      <c r="G100" s="5">
        <f>IF(5=7,'P&amp;L'!I31/cap,0)</f>
        <v>0</v>
      </c>
      <c r="H100" s="5">
        <f>IF(6=7,'P&amp;L'!I31/cap,0)</f>
        <v>0</v>
      </c>
      <c r="I100" s="5">
        <f>IF(7=7,'P&amp;L'!I31/cap,0)</f>
        <v>6290345.618609483</v>
      </c>
    </row>
    <row r="101" spans="1:9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-125806.91237218957</v>
      </c>
    </row>
    <row r="102" spans="1:9" x14ac:dyDescent="0.25">
      <c r="A102" t="s">
        <v>28</v>
      </c>
      <c r="C102" s="5">
        <f>IF(1&lt;7,0,IF(B86=0,0,-(B86+CUMPRINC(Assumptions!$D$48/12,Assumptions!$D$49*12,B86,1,84,0))))</f>
        <v>0</v>
      </c>
      <c r="D102" s="5">
        <f>IF(2&lt;7,0,IF(B86=0,0,-(B86+CUMPRINC(Assumptions!$D$48/12,Assumptions!$D$49*12,B86,1,84,0))))</f>
        <v>0</v>
      </c>
      <c r="E102" s="5">
        <f>IF(3&lt;7,0,IF(B86=0,0,-(B86+CUMPRINC(Assumptions!$D$48/12,Assumptions!$D$49*12,B86,1,84,0))))</f>
        <v>0</v>
      </c>
      <c r="F102" s="5">
        <f>IF(4&lt;7,0,IF(B86=0,0,-(B86+CUMPRINC(Assumptions!$D$48/12,Assumptions!$D$49*12,B86,1,84,0))))</f>
        <v>0</v>
      </c>
      <c r="G102" s="5">
        <f>IF(5&lt;7,0,IF(B86=0,0,-(B86+CUMPRINC(Assumptions!$D$48/12,Assumptions!$D$49*12,B86,1,84,0))))</f>
        <v>0</v>
      </c>
      <c r="H102" s="5">
        <f>IF(6&lt;7,0,IF(B86=0,0,-(B86+CUMPRINC(Assumptions!$D$48/12,Assumptions!$D$49*12,B86,1,84,0))))</f>
        <v>0</v>
      </c>
      <c r="I102" s="5">
        <f>IF(7&lt;7,0,IF(B86=0,0,-(B86+CUMPRINC(Assumptions!$D$48/12,Assumptions!$D$49*12,B86,1,84,0))))</f>
        <v>-1841305.2835045247</v>
      </c>
    </row>
    <row r="103" spans="1:9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4323233.422732769</v>
      </c>
    </row>
    <row r="105" spans="1:9" x14ac:dyDescent="0.25">
      <c r="A105" t="s">
        <v>201</v>
      </c>
      <c r="C105" s="5">
        <f>71761.24668398386</f>
        <v>71761.24668398386</v>
      </c>
      <c r="D105" s="5">
        <f>102804.33313861821</f>
        <v>102804.33313861821</v>
      </c>
      <c r="E105" s="5">
        <f>122778.87893373995</f>
        <v>122778.87893373995</v>
      </c>
      <c r="F105" s="5">
        <f>128636.65896573984</f>
        <v>128636.65896573984</v>
      </c>
      <c r="G105" s="5">
        <f>134611.59459837983</f>
        <v>134611.59459837983</v>
      </c>
      <c r="H105" s="5">
        <f>140706.02894367263</f>
        <v>140706.02894367263</v>
      </c>
      <c r="I105" s="5">
        <f>146922.35197587137</f>
        <v>146922.35197587137</v>
      </c>
    </row>
    <row r="106" spans="1:9" x14ac:dyDescent="0.25">
      <c r="A106" t="s">
        <v>202</v>
      </c>
      <c r="C106" s="5">
        <f>17940.311670995958</f>
        <v>17940.311670995958</v>
      </c>
      <c r="D106" s="5">
        <f>25701.083284654538</f>
        <v>25701.083284654538</v>
      </c>
      <c r="E106" s="5">
        <f>30694.719733434977</f>
        <v>30694.719733434977</v>
      </c>
      <c r="F106" s="5">
        <f>32159.164741434957</f>
        <v>32159.164741434957</v>
      </c>
      <c r="G106" s="5">
        <f>33652.89864959495</f>
        <v>33652.89864959495</v>
      </c>
      <c r="H106" s="5">
        <f>35176.507235918165</f>
        <v>35176.507235918165</v>
      </c>
      <c r="I106" s="5">
        <f>36730.58799396784</f>
        <v>36730.58799396784</v>
      </c>
    </row>
    <row r="107" spans="1:9" x14ac:dyDescent="0.25">
      <c r="A107" t="s">
        <v>227</v>
      </c>
      <c r="C107" s="5">
        <f>IF(1=7,3021002.167907747,0)</f>
        <v>0</v>
      </c>
      <c r="D107" s="5">
        <f>IF(2=7,3021002.167907747,0)</f>
        <v>0</v>
      </c>
      <c r="E107" s="5">
        <f>IF(3=7,3021002.167907747,0)</f>
        <v>0</v>
      </c>
      <c r="F107" s="5">
        <f>IF(4=7,3021002.167907747,0)</f>
        <v>0</v>
      </c>
      <c r="G107" s="5">
        <f>IF(5=7,3021002.167907747,0)</f>
        <v>0</v>
      </c>
      <c r="H107" s="5">
        <f>IF(6=7,3021002.167907747,0)</f>
        <v>0</v>
      </c>
      <c r="I107" s="5">
        <f>IF(7=7,3021002.167907747,0)</f>
        <v>3021002.167907747</v>
      </c>
    </row>
    <row r="108" spans="1:9" x14ac:dyDescent="0.25">
      <c r="A108" t="s">
        <v>228</v>
      </c>
      <c r="C108" s="5">
        <f>IF(1=7,1302231.2548250216,0)</f>
        <v>0</v>
      </c>
      <c r="D108" s="5">
        <f>IF(2=7,1302231.2548250216,0)</f>
        <v>0</v>
      </c>
      <c r="E108" s="5">
        <f>IF(3=7,1302231.2548250216,0)</f>
        <v>0</v>
      </c>
      <c r="F108" s="5">
        <f>IF(4=7,1302231.2548250216,0)</f>
        <v>0</v>
      </c>
      <c r="G108" s="5">
        <f>IF(5=7,1302231.2548250216,0)</f>
        <v>0</v>
      </c>
      <c r="H108" s="5">
        <f>IF(6=7,1302231.2548250216,0)</f>
        <v>0</v>
      </c>
      <c r="I108" s="5">
        <f>IF(7=7,1302231.2548250216,0)</f>
        <v>1302231.2548250216</v>
      </c>
    </row>
    <row r="109" spans="1:9" x14ac:dyDescent="0.25">
      <c r="A109" t="s">
        <v>229</v>
      </c>
      <c r="C109" s="5">
        <f>(C95+C96)*(1-gp_pct)</f>
        <v>98918.40000000002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</row>
    <row r="110" spans="1:9" x14ac:dyDescent="0.25">
      <c r="A110" t="s">
        <v>230</v>
      </c>
      <c r="C110" s="5">
        <f>(C95+C96)*gp_pct</f>
        <v>24729.59999999998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</row>
    <row r="111" spans="1:9" x14ac:dyDescent="0.25">
      <c r="A111" s="3" t="s">
        <v>231</v>
      </c>
      <c r="C111" s="5">
        <f>SUM(C105:C110)</f>
        <v>213349.55835497982</v>
      </c>
      <c r="D111" s="5">
        <f>SUM(D105:D110)</f>
        <v>128505.41642327275</v>
      </c>
      <c r="E111" s="5">
        <f>SUM(E105:E110)</f>
        <v>153473.59866717493</v>
      </c>
      <c r="F111" s="5">
        <f>SUM(F105:F110)</f>
        <v>160795.8237071748</v>
      </c>
      <c r="G111" s="5">
        <f>SUM(G105:G110)</f>
        <v>168264.49324797478</v>
      </c>
      <c r="H111" s="5">
        <f>SUM(H105:H110)</f>
        <v>175882.5361795908</v>
      </c>
      <c r="I111" s="5">
        <f>SUM(I105:I110)</f>
        <v>4506886.362702608</v>
      </c>
    </row>
    <row r="113" spans="1:9" x14ac:dyDescent="0.25">
      <c r="A113" t="s">
        <v>232</v>
      </c>
      <c r="C113" s="5">
        <f>C94+C95+C96+C103</f>
        <v>213349.55835497982</v>
      </c>
      <c r="D113" s="5">
        <f>D94+D95+D96+D103</f>
        <v>128505.41642327275</v>
      </c>
      <c r="E113" s="5">
        <f>E94+E95+E96+E103</f>
        <v>153473.59866717493</v>
      </c>
      <c r="F113" s="5">
        <f>F94+F95+F96+F103</f>
        <v>160795.8237071748</v>
      </c>
      <c r="G113" s="5">
        <f>G94+G95+G96+G103</f>
        <v>168264.49324797478</v>
      </c>
      <c r="H113" s="5">
        <f>H94+H95+H96+H103</f>
        <v>175882.5361795908</v>
      </c>
      <c r="I113" s="5">
        <f>I94+I95+I96+I103</f>
        <v>4506886.362702608</v>
      </c>
    </row>
    <row r="114" spans="1:9" x14ac:dyDescent="0.25">
      <c r="A114" t="s">
        <v>233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</row>
    <row r="116" spans="1:9" x14ac:dyDescent="0.25">
      <c r="A116" t="s">
        <v>234</v>
      </c>
      <c r="B116" s="5">
        <f>-B87</f>
        <v>-1513937.637755102</v>
      </c>
      <c r="C116" s="5">
        <f>C105+C107+C109</f>
        <v>170679.64668398388</v>
      </c>
      <c r="D116" s="5">
        <f>D105+D107+D109</f>
        <v>102804.33313861821</v>
      </c>
      <c r="E116" s="5">
        <f>E105+E107+E109</f>
        <v>122778.87893373995</v>
      </c>
      <c r="F116" s="5">
        <f>F105+F107+F109</f>
        <v>128636.65896573984</v>
      </c>
      <c r="G116" s="5">
        <f>G105+G107+G109</f>
        <v>134611.59459837983</v>
      </c>
      <c r="H116" s="5">
        <f>H105+H107+H109</f>
        <v>140706.02894367263</v>
      </c>
      <c r="I116" s="5">
        <f>I105+I107+I109</f>
        <v>3167924.519883618</v>
      </c>
    </row>
    <row r="117" spans="1:9" x14ac:dyDescent="0.25">
      <c r="A117" t="s">
        <v>235</v>
      </c>
      <c r="B117" s="5">
        <f>B116</f>
        <v>-1513937.637755102</v>
      </c>
      <c r="C117" s="5">
        <f>B117+C116</f>
        <v>-1343257.991071118</v>
      </c>
      <c r="D117" s="5">
        <f>C117+D116</f>
        <v>-1240453.6579325</v>
      </c>
      <c r="E117" s="5">
        <f>D117+E116</f>
        <v>-1117674.77899876</v>
      </c>
      <c r="F117" s="5">
        <f>E117+F116</f>
        <v>-989038.1200330202</v>
      </c>
      <c r="G117" s="5">
        <f>F117+G116</f>
        <v>-854426.5254346404</v>
      </c>
      <c r="H117" s="5">
        <f>G117+H116</f>
        <v>-713720.4964909677</v>
      </c>
      <c r="I117" s="5">
        <f>H117+I116</f>
        <v>2454204.0233926503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238</v>
      </c>
    </row>
    <row r="3" spans="1:7" x14ac:dyDescent="0.25">
      <c r="A3" s="3" t="s">
        <v>239</v>
      </c>
      <c r="B3" s="3" t="s">
        <v>13</v>
      </c>
      <c r="C3" s="3" t="s">
        <v>19</v>
      </c>
      <c r="D3" s="3" t="s">
        <v>31</v>
      </c>
      <c r="E3" s="3" t="s">
        <v>212</v>
      </c>
      <c r="F3" s="3" t="s">
        <v>226</v>
      </c>
      <c r="G3" s="3" t="s">
        <v>240</v>
      </c>
    </row>
    <row r="4" spans="1:7" x14ac:dyDescent="0.25">
      <c r="A4" t="s">
        <v>81</v>
      </c>
      <c r="B4" s="5">
        <v>0</v>
      </c>
      <c r="C4" s="5">
        <v>3840040</v>
      </c>
      <c r="D4" s="6">
        <v>0.10884058564128202</v>
      </c>
      <c r="E4" s="7">
        <v>1.8393400457032756</v>
      </c>
      <c r="F4" s="7"/>
      <c r="G4" t="s">
        <v>241</v>
      </c>
    </row>
    <row r="5" spans="1:7" x14ac:dyDescent="0.25">
      <c r="A5" t="s">
        <v>12</v>
      </c>
      <c r="B5" s="5">
        <v>2666967</v>
      </c>
      <c r="C5" s="5">
        <v>1794989</v>
      </c>
      <c r="D5" s="6">
        <v>0.15600899733899357</v>
      </c>
      <c r="E5" s="7">
        <v>2.436984550937282</v>
      </c>
      <c r="F5" s="7">
        <v>1.8884726551134128</v>
      </c>
      <c r="G5" t="s">
        <v>242</v>
      </c>
    </row>
    <row r="6" spans="1:7" x14ac:dyDescent="0.25">
      <c r="A6" t="s">
        <v>83</v>
      </c>
      <c r="B6" s="5">
        <v>3151870</v>
      </c>
      <c r="C6" s="5">
        <v>1415019</v>
      </c>
      <c r="D6" s="6">
        <v>0.17524233651701457</v>
      </c>
      <c r="E6" s="7">
        <v>2.7343962243836293</v>
      </c>
      <c r="F6" s="7">
        <v>1.5979384004805801</v>
      </c>
      <c r="G6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2026-09-21T01:10:07Z</dcterms:created>
  <dcterms:modified xsi:type="dcterms:W3CDTF">2026-09-21T01:10:07Z</dcterms:modified>
</cp:coreProperties>
</file>