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Mix'!$B$35</definedName>
    <definedName name="blended_incl">'Unit Mix'!$B$36</definedName>
    <definedName name="clean_base">'Unit Mix'!$B$37</definedName>
    <definedName name="anc_units">'Unit Mix'!$B$38</definedName>
    <definedName name="mtr_n">'Unit Mix'!$B$39</definedName>
    <definedName name="cost_unit_n">'Unit Mix'!$B$40</definedName>
    <definedName name="mtr_rent_a">'Unit Mix'!$B$41</definedName>
    <definedName name="turn_base">'Unit Mix'!$B$42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<sst xmlns="http://schemas.openxmlformats.org/spreadsheetml/2006/main" count="427" uniqueCount="243">
  <si>
    <t>Santa Catalina 9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</si>
  <si>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</si>
  <si>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</si>
  <si>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</si>
  <si>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</si>
  <si>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</si>
  <si>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</si>
  <si>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</si>
  <si>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</si>
  <si>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</si>
  <si>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</si>
  <si>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</si>
  <si>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</si>
  <si>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</si>
  <si>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</si>
  <si>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</si>
  <si>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</si>
  <si>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</si>
  <si>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</si>
  <si>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</si>
  <si>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</si>
  <si>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</si>
  <si>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</si>
  <si>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</si>
  <si>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</si>
  <si>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</si>
  <si>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</si>
  <si>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</si>
  <si>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</si>
  <si>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</si>
  <si>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</si>
  <si>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</si>
  <si>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</si>
  <si>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</si>
  <si>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</si>
  <si>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</si>
  <si>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</si>
  <si>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</si>
  <si>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</si>
  <si>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</si>
  <si>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</si>
  <si>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</si>
  <si>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</si>
  <si>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</si>
  <si>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</si>
  <si>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</si>
  <si>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</si>
  <si>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</si>
  <si>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</si>
  <si>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</si>
  <si>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</si>
  <si>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</si>
  <si>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</si>
  <si>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</si>
  <si>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</si>
  <si>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</si>
  <si>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</si>
  <si>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</si>
  <si>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</si>
  <si>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</si>
  <si>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</si>
  <si>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</si>
  <si>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</si>
  <si>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</si>
  <si>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</si>
  <si>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</si>
  <si>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</si>
  <si>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</si>
  <si>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</si>
  <si>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</si>
  <si>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</si>
  <si>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</si>
  <si>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</si>
  <si>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</si>
  <si>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</si>
  <si>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</si>
  <si>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</si>
  <si>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</si>
  <si>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</si>
  <si>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</si>
  <si>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</si>
  <si>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</si>
  <si>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</si>
  <si>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60%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</si>
  <si>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</si>
  <si>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</si>
  <si>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</si>
  <si>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</si>
  <si>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</si>
  <si>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</si>
  <si>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</si>
  <si>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</si>
  <si>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</si>
  <si>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</si>
  <si>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</si>
  <si>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</si>
  <si>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</si>
  <si>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</si>
  <si>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</si>
  <si>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</si>
  <si>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</si>
  <si>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</si>
  <si>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</si>
  <si>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</si>
  <si>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</si>
  <si>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</si>
  <si>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Double room</t>
  </si>
  <si>
    <t>STR</t>
  </si>
  <si>
    <t>Suite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</si>
  <si>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</si>
  <si>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</si>
  <si>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</si>
  <si>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</si>
  <si>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</si>
  <si>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</si>
  <si>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</si>
  <si>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</si>
  <si>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</si>
  <si>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</si>
  <si>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</si>
  <si>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</si>
  <si>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</si>
  <si>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</si>
  <si>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</si>
  <si>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</si>
  <si>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</si>
  <si>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</si>
  <si>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</si>
  <si>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</si>
  <si>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</si>
  <si>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</si>
  <si>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</si>
  <si>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</si>
  <si>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</si>
  <si>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</si>
  <si>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</si>
  <si>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</si>
  <si>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</si>
  <si>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</si>
  <si>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</si>
  <si>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</si>
  <si>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</si>
  <si>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</si>
  <si>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</si>
  <si>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</si>
  <si>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</si>
  <si>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</si>
  <si>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</si>
  <si>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</si>
  <si>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</si>
  <si>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</si>
  <si>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</si>
  <si>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</si>
  <si>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</si>
  <si>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</si>
  <si>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</si>
  <si>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</si>
  <si>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</si>
  <si>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</si>
  <si>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</si>
  <si>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</si>
  <si>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</si>
  <si>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</si>
  <si>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</si>
  <si>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</si>
  <si>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</si>
  <si>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</si>
  <si>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</si>
  <si>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</si>
  <si>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</si>
  <si>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</si>
  <si>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</si>
  <si>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</si>
  <si>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</si>
  <si>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</si>
  <si>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</si>
  <si>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</si>
  <si>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</si>
  <si>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</si>
  <si>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</si>
  <si>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</si>
  <si>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</si>
  <si>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</si>
  <si>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</si>
  <si>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</si>
  <si>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</si>
  <si>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</si>
  <si>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</si>
  <si>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</si>
  <si>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</si>
  <si>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</si>
  <si>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</si>
  <si>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</si>
  <si>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</si>
  <si>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</si>
  <si>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</si>
  <si>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</si>
  <si>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</si>
  <si>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</si>
  <si>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</si>
  <si>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</si>
  <si>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</si>
  <si>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</si>
  <si>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</si>
  <si>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</si>
  <si>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</si>
  <si>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</si>
  <si>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</si>
  <si>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</si>
  <si>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</si>
  <si>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</si>
  <si>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</si>
  <si>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</si>
  <si>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</si>
  <si>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</si>
  <si>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</si>
  <si>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</si>
  <si>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</si>
  <si>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</si>
  <si>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</si>
  <si>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</si>
  <si>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</si>
  <si>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</si>
  <si>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</si>
  <si>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</si>
  <si>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</si>
  <si>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</si>
  <si>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</si>
  <si>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</si>
  <si>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</si>
  <si>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</si>
  <si>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</si>
  <si>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</si>
  <si>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</si>
  <si>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</si>
  <si>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</si>
  <si>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</si>
  <si>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60%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</si>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</sst>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32</v>
      </c>
    </row>
    <row r="7" spans="1:2" x14ac:dyDescent="0.25">
      <c r="A7" t="s">
        <v>5</v>
      </c>
      <c r="B7" s="5">
        <f>price</f>
        <v>8900000</v>
      </c>
    </row>
    <row r="8" spans="1:2" x14ac:dyDescent="0.25">
      <c r="A8" t="s">
        <v>6</v>
      </c>
      <c r="B8" s="5">
        <f>tpc</f>
        <v>10993622.448979592</v>
      </c>
    </row>
    <row r="9" spans="1:2" x14ac:dyDescent="0.25">
      <c r="A9" t="s">
        <v>7</v>
      </c>
      <c r="B9" s="5">
        <f>IF(units_c=0,0,tpc/units_c)</f>
        <v>343550.70153061225</v>
      </c>
    </row>
    <row r="10" spans="1:2" x14ac:dyDescent="0.25">
      <c r="A10" t="s">
        <v>8</v>
      </c>
      <c r="B10" s="5">
        <f>'P&amp;L'!E31</f>
        <v>1149945.6825600003</v>
      </c>
    </row>
    <row r="11" spans="1:2" x14ac:dyDescent="0.25">
      <c r="A11" t="s">
        <v>9</v>
      </c>
      <c r="B11" s="6">
        <f>IF(tpc=0,0,B10/tpc)</f>
        <v>0.10460116198248523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5496811.224489796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121884.6301020408</v>
      </c>
    </row>
    <row r="18" spans="1:2" x14ac:dyDescent="0.25">
      <c r="A18" t="s">
        <v>16</v>
      </c>
      <c r="B18" s="5">
        <f>eq_total</f>
        <v>5618695.854591837</v>
      </c>
    </row>
    <row r="19" spans="1:2" x14ac:dyDescent="0.25">
      <c r="A19" t="s">
        <v>17</v>
      </c>
      <c r="B19" s="5">
        <f>vat_float</f>
        <v>267330</v>
      </c>
    </row>
    <row r="20" spans="1:2" x14ac:dyDescent="0.25">
      <c r="A20" t="s">
        <v>18</v>
      </c>
      <c r="B20" s="5">
        <f>eq_total+vat_float</f>
        <v>5886025.854591837</v>
      </c>
    </row>
    <row r="21" spans="1:2" x14ac:dyDescent="0.25">
      <c r="A21" t="s">
        <v>19</v>
      </c>
      <c r="B21" s="5">
        <f>eq_lp</f>
        <v>4494956.68367347</v>
      </c>
    </row>
    <row r="22" spans="1:2" x14ac:dyDescent="0.25">
      <c r="A22" t="s">
        <v>20</v>
      </c>
      <c r="B22" s="5">
        <f>eq_gp</f>
        <v>1123739.1709183676</v>
      </c>
    </row>
    <row r="23" spans="1:2" x14ac:dyDescent="0.25">
      <c r="A23" t="s">
        <v>21</v>
      </c>
      <c r="B23" s="5">
        <f>Waterfall!B8</f>
        <v>447630.6040542049</v>
      </c>
    </row>
    <row r="24" spans="1:2" x14ac:dyDescent="0.25">
      <c r="A24" t="s">
        <v>22</v>
      </c>
      <c r="B24" s="7">
        <f>IF(Waterfall!B8=0,0,B10/Waterfall!B8)</f>
        <v>2.5689612643659863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7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17781974.129372794</v>
      </c>
    </row>
    <row r="30" spans="1:2" x14ac:dyDescent="0.25">
      <c r="A30" t="s">
        <v>27</v>
      </c>
      <c r="B30" s="5">
        <f>Waterfall!B27</f>
        <v>-355639.4825874559</v>
      </c>
    </row>
    <row r="31" spans="1:2" x14ac:dyDescent="0.25">
      <c r="A31" t="s">
        <v>28</v>
      </c>
      <c r="B31" s="5">
        <f>Waterfall!B28</f>
        <v>3211207.2762373635</v>
      </c>
    </row>
    <row r="32" spans="1:2" x14ac:dyDescent="0.25">
      <c r="A32" t="s">
        <v>29</v>
      </c>
      <c r="B32" s="5">
        <f>Waterfall!B29</f>
        <v>14215127.370547974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0.20395433835256122</v>
      </c>
    </row>
    <row r="36" spans="1:2" x14ac:dyDescent="0.25">
      <c r="A36" t="s">
        <v>32</v>
      </c>
      <c r="B36" s="7">
        <f>Waterfall!B38</f>
        <v>2.9786423249236837</v>
      </c>
    </row>
    <row r="37" spans="1:2" x14ac:dyDescent="0.25">
      <c r="A37" t="s">
        <v>33</v>
      </c>
      <c r="B37" s="5">
        <f>Waterfall!B37</f>
        <v>13388868.226688396</v>
      </c>
    </row>
    <row r="38" spans="1:2" x14ac:dyDescent="0.25">
      <c r="A38" t="s">
        <v>34</v>
      </c>
      <c r="B38" s="6">
        <f>IF(eq_lp=0,0,AVERAGE(Waterfall!C22:I22)/eq_lp)</f>
        <v>0.1248952305002716</v>
      </c>
    </row>
    <row r="39" spans="1:2" x14ac:dyDescent="0.25">
      <c r="A39" t="s">
        <v>35</v>
      </c>
      <c r="B39" s="6">
        <f>IRR('Cash Flow'!B77:'Cash Flow'!I77)</f>
        <v>0.20221733778372633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SUM(Waterfall!C23:I23)+Waterfall!B32</f>
        <v>5738497.3409507545</v>
      </c>
    </row>
    <row r="43" spans="1:2" x14ac:dyDescent="0.25">
      <c r="A43" t="s">
        <v>38</v>
      </c>
      <c r="B43" s="7">
        <f>IF(eq_gp=0,0,B42/eq_gp)</f>
        <v>5.106609691518549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1</v>
      </c>
    </row>
    <row r="21" spans="1:2" x14ac:dyDescent="0.25">
      <c r="A21" t="s">
        <v>57</v>
      </c>
      <c r="B21" s="11">
        <v>14</v>
      </c>
    </row>
    <row r="22" spans="1:2" x14ac:dyDescent="0.25">
      <c r="A22" t="s">
        <v>58</v>
      </c>
      <c r="B22" s="11">
        <v>6</v>
      </c>
    </row>
    <row r="23" spans="1:2" x14ac:dyDescent="0.25">
      <c r="A23" t="s">
        <v>59</v>
      </c>
      <c r="B23" s="11">
        <v>4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17000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210</v>
      </c>
      <c r="D2" s="8">
        <v>0.7</v>
      </c>
      <c r="E2" s="11">
        <v>0</v>
      </c>
      <c r="F2" s="11">
        <v>0</v>
      </c>
    </row>
    <row r="3" spans="1:6" x14ac:dyDescent="0.25">
      <c r="A3" t="s">
        <v>106</v>
      </c>
      <c r="B3" t="s">
        <v>107</v>
      </c>
      <c r="C3" s="11">
        <v>210</v>
      </c>
      <c r="D3" s="8">
        <v>0.7</v>
      </c>
      <c r="E3" s="11">
        <v>0</v>
      </c>
      <c r="F3" s="11">
        <v>0</v>
      </c>
    </row>
    <row r="4" spans="1:6" x14ac:dyDescent="0.25">
      <c r="A4" t="s">
        <v>106</v>
      </c>
      <c r="B4" t="s">
        <v>107</v>
      </c>
      <c r="C4" s="11">
        <v>210</v>
      </c>
      <c r="D4" s="8">
        <v>0.7</v>
      </c>
      <c r="E4" s="11">
        <v>0</v>
      </c>
      <c r="F4" s="11">
        <v>0</v>
      </c>
    </row>
    <row r="5" spans="1:6" x14ac:dyDescent="0.25">
      <c r="A5" t="s">
        <v>106</v>
      </c>
      <c r="B5" t="s">
        <v>107</v>
      </c>
      <c r="C5" s="11">
        <v>210</v>
      </c>
      <c r="D5" s="8">
        <v>0.7</v>
      </c>
      <c r="E5" s="11">
        <v>0</v>
      </c>
      <c r="F5" s="11">
        <v>0</v>
      </c>
    </row>
    <row r="6" spans="1:6" x14ac:dyDescent="0.25">
      <c r="A6" t="s">
        <v>106</v>
      </c>
      <c r="B6" t="s">
        <v>107</v>
      </c>
      <c r="C6" s="11">
        <v>210</v>
      </c>
      <c r="D6" s="8">
        <v>0.7</v>
      </c>
      <c r="E6" s="11">
        <v>0</v>
      </c>
      <c r="F6" s="11">
        <v>0</v>
      </c>
    </row>
    <row r="7" spans="1:6" x14ac:dyDescent="0.25">
      <c r="A7" t="s">
        <v>106</v>
      </c>
      <c r="B7" t="s">
        <v>107</v>
      </c>
      <c r="C7" s="11">
        <v>210</v>
      </c>
      <c r="D7" s="8">
        <v>0.7</v>
      </c>
      <c r="E7" s="11">
        <v>0</v>
      </c>
      <c r="F7" s="11">
        <v>0</v>
      </c>
    </row>
    <row r="8" spans="1:6" x14ac:dyDescent="0.25">
      <c r="A8" t="s">
        <v>106</v>
      </c>
      <c r="B8" t="s">
        <v>107</v>
      </c>
      <c r="C8" s="11">
        <v>210</v>
      </c>
      <c r="D8" s="8">
        <v>0.7</v>
      </c>
      <c r="E8" s="11">
        <v>0</v>
      </c>
      <c r="F8" s="11">
        <v>0</v>
      </c>
    </row>
    <row r="9" spans="1:6" x14ac:dyDescent="0.25">
      <c r="A9" t="s">
        <v>106</v>
      </c>
      <c r="B9" t="s">
        <v>107</v>
      </c>
      <c r="C9" s="11">
        <v>210</v>
      </c>
      <c r="D9" s="8">
        <v>0.7</v>
      </c>
      <c r="E9" s="11">
        <v>0</v>
      </c>
      <c r="F9" s="11">
        <v>0</v>
      </c>
    </row>
    <row r="10" spans="1:6" x14ac:dyDescent="0.25">
      <c r="A10" t="s">
        <v>106</v>
      </c>
      <c r="B10" t="s">
        <v>107</v>
      </c>
      <c r="C10" s="11">
        <v>210</v>
      </c>
      <c r="D10" s="8">
        <v>0.7</v>
      </c>
      <c r="E10" s="11">
        <v>0</v>
      </c>
      <c r="F10" s="11">
        <v>0</v>
      </c>
    </row>
    <row r="11" spans="1:6" x14ac:dyDescent="0.25">
      <c r="A11" t="s">
        <v>106</v>
      </c>
      <c r="B11" t="s">
        <v>107</v>
      </c>
      <c r="C11" s="11">
        <v>210</v>
      </c>
      <c r="D11" s="8">
        <v>0.7</v>
      </c>
      <c r="E11" s="11">
        <v>0</v>
      </c>
      <c r="F11" s="11">
        <v>0</v>
      </c>
    </row>
    <row r="12" spans="1:6" x14ac:dyDescent="0.25">
      <c r="A12" t="s">
        <v>106</v>
      </c>
      <c r="B12" t="s">
        <v>107</v>
      </c>
      <c r="C12" s="11">
        <v>210</v>
      </c>
      <c r="D12" s="8">
        <v>0.7</v>
      </c>
      <c r="E12" s="11">
        <v>0</v>
      </c>
      <c r="F12" s="11">
        <v>0</v>
      </c>
    </row>
    <row r="13" spans="1:6" x14ac:dyDescent="0.25">
      <c r="A13" t="s">
        <v>106</v>
      </c>
      <c r="B13" t="s">
        <v>107</v>
      </c>
      <c r="C13" s="11">
        <v>210</v>
      </c>
      <c r="D13" s="8">
        <v>0.7</v>
      </c>
      <c r="E13" s="11">
        <v>0</v>
      </c>
      <c r="F13" s="11">
        <v>0</v>
      </c>
    </row>
    <row r="14" spans="1:6" x14ac:dyDescent="0.25">
      <c r="A14" t="s">
        <v>106</v>
      </c>
      <c r="B14" t="s">
        <v>107</v>
      </c>
      <c r="C14" s="11">
        <v>210</v>
      </c>
      <c r="D14" s="8">
        <v>0.7</v>
      </c>
      <c r="E14" s="11">
        <v>0</v>
      </c>
      <c r="F14" s="11">
        <v>0</v>
      </c>
    </row>
    <row r="15" spans="1:6" x14ac:dyDescent="0.25">
      <c r="A15" t="s">
        <v>106</v>
      </c>
      <c r="B15" t="s">
        <v>107</v>
      </c>
      <c r="C15" s="11">
        <v>210</v>
      </c>
      <c r="D15" s="8">
        <v>0.7</v>
      </c>
      <c r="E15" s="11">
        <v>0</v>
      </c>
      <c r="F15" s="11">
        <v>0</v>
      </c>
    </row>
    <row r="16" spans="1:6" x14ac:dyDescent="0.25">
      <c r="A16" t="s">
        <v>106</v>
      </c>
      <c r="B16" t="s">
        <v>107</v>
      </c>
      <c r="C16" s="11">
        <v>210</v>
      </c>
      <c r="D16" s="8">
        <v>0.7</v>
      </c>
      <c r="E16" s="11">
        <v>0</v>
      </c>
      <c r="F16" s="11">
        <v>0</v>
      </c>
    </row>
    <row r="17" spans="1:6" x14ac:dyDescent="0.25">
      <c r="A17" t="s">
        <v>106</v>
      </c>
      <c r="B17" t="s">
        <v>107</v>
      </c>
      <c r="C17" s="11">
        <v>210</v>
      </c>
      <c r="D17" s="8">
        <v>0.7</v>
      </c>
      <c r="E17" s="11">
        <v>0</v>
      </c>
      <c r="F17" s="11">
        <v>0</v>
      </c>
    </row>
    <row r="18" spans="1:6" x14ac:dyDescent="0.25">
      <c r="A18" t="s">
        <v>106</v>
      </c>
      <c r="B18" t="s">
        <v>107</v>
      </c>
      <c r="C18" s="11">
        <v>210</v>
      </c>
      <c r="D18" s="8">
        <v>0.7</v>
      </c>
      <c r="E18" s="11">
        <v>0</v>
      </c>
      <c r="F18" s="11">
        <v>0</v>
      </c>
    </row>
    <row r="19" spans="1:6" x14ac:dyDescent="0.25">
      <c r="A19" t="s">
        <v>106</v>
      </c>
      <c r="B19" t="s">
        <v>107</v>
      </c>
      <c r="C19" s="11">
        <v>210</v>
      </c>
      <c r="D19" s="8">
        <v>0.7</v>
      </c>
      <c r="E19" s="11">
        <v>0</v>
      </c>
      <c r="F19" s="11">
        <v>0</v>
      </c>
    </row>
    <row r="20" spans="1:6" x14ac:dyDescent="0.25">
      <c r="A20" t="s">
        <v>106</v>
      </c>
      <c r="B20" t="s">
        <v>107</v>
      </c>
      <c r="C20" s="11">
        <v>210</v>
      </c>
      <c r="D20" s="8">
        <v>0.7</v>
      </c>
      <c r="E20" s="11">
        <v>0</v>
      </c>
      <c r="F20" s="11">
        <v>0</v>
      </c>
    </row>
    <row r="21" spans="1:6" x14ac:dyDescent="0.25">
      <c r="A21" t="s">
        <v>106</v>
      </c>
      <c r="B21" t="s">
        <v>107</v>
      </c>
      <c r="C21" s="11">
        <v>210</v>
      </c>
      <c r="D21" s="8">
        <v>0.7</v>
      </c>
      <c r="E21" s="11">
        <v>0</v>
      </c>
      <c r="F21" s="11">
        <v>0</v>
      </c>
    </row>
    <row r="22" spans="1:6" x14ac:dyDescent="0.25">
      <c r="A22" t="s">
        <v>106</v>
      </c>
      <c r="B22" t="s">
        <v>107</v>
      </c>
      <c r="C22" s="11">
        <v>210</v>
      </c>
      <c r="D22" s="8">
        <v>0.7</v>
      </c>
      <c r="E22" s="11">
        <v>0</v>
      </c>
      <c r="F22" s="11">
        <v>0</v>
      </c>
    </row>
    <row r="23" spans="1:6" x14ac:dyDescent="0.25">
      <c r="A23" t="s">
        <v>106</v>
      </c>
      <c r="B23" t="s">
        <v>107</v>
      </c>
      <c r="C23" s="11">
        <v>210</v>
      </c>
      <c r="D23" s="8">
        <v>0.7</v>
      </c>
      <c r="E23" s="11">
        <v>0</v>
      </c>
      <c r="F23" s="11">
        <v>0</v>
      </c>
    </row>
    <row r="24" spans="1:6" x14ac:dyDescent="0.25">
      <c r="A24" t="s">
        <v>106</v>
      </c>
      <c r="B24" t="s">
        <v>107</v>
      </c>
      <c r="C24" s="11">
        <v>210</v>
      </c>
      <c r="D24" s="8">
        <v>0.7</v>
      </c>
      <c r="E24" s="11">
        <v>0</v>
      </c>
      <c r="F24" s="11">
        <v>0</v>
      </c>
    </row>
    <row r="25" spans="1:6" x14ac:dyDescent="0.25">
      <c r="A25" t="s">
        <v>106</v>
      </c>
      <c r="B25" t="s">
        <v>107</v>
      </c>
      <c r="C25" s="11">
        <v>210</v>
      </c>
      <c r="D25" s="8">
        <v>0.7</v>
      </c>
      <c r="E25" s="11">
        <v>0</v>
      </c>
      <c r="F25" s="11">
        <v>0</v>
      </c>
    </row>
    <row r="26" spans="1:6" x14ac:dyDescent="0.25">
      <c r="A26" t="s">
        <v>108</v>
      </c>
      <c r="B26" t="s">
        <v>107</v>
      </c>
      <c r="C26" s="11">
        <v>320</v>
      </c>
      <c r="D26" s="8">
        <v>0.7</v>
      </c>
      <c r="E26" s="11">
        <v>0</v>
      </c>
      <c r="F26" s="11">
        <v>0</v>
      </c>
    </row>
    <row r="27" spans="1:6" x14ac:dyDescent="0.25">
      <c r="A27" t="s">
        <v>108</v>
      </c>
      <c r="B27" t="s">
        <v>107</v>
      </c>
      <c r="C27" s="11">
        <v>320</v>
      </c>
      <c r="D27" s="8">
        <v>0.7</v>
      </c>
      <c r="E27" s="11">
        <v>0</v>
      </c>
      <c r="F27" s="11">
        <v>0</v>
      </c>
    </row>
    <row r="28" spans="1:6" x14ac:dyDescent="0.25">
      <c r="A28" t="s">
        <v>108</v>
      </c>
      <c r="B28" t="s">
        <v>107</v>
      </c>
      <c r="C28" s="11">
        <v>320</v>
      </c>
      <c r="D28" s="8">
        <v>0.7</v>
      </c>
      <c r="E28" s="11">
        <v>0</v>
      </c>
      <c r="F28" s="11">
        <v>0</v>
      </c>
    </row>
    <row r="29" spans="1:6" x14ac:dyDescent="0.25">
      <c r="A29" t="s">
        <v>108</v>
      </c>
      <c r="B29" t="s">
        <v>107</v>
      </c>
      <c r="C29" s="11">
        <v>320</v>
      </c>
      <c r="D29" s="8">
        <v>0.7</v>
      </c>
      <c r="E29" s="11">
        <v>0</v>
      </c>
      <c r="F29" s="11">
        <v>0</v>
      </c>
    </row>
    <row r="30" spans="1:6" x14ac:dyDescent="0.25">
      <c r="A30" t="s">
        <v>108</v>
      </c>
      <c r="B30" t="s">
        <v>107</v>
      </c>
      <c r="C30" s="11">
        <v>320</v>
      </c>
      <c r="D30" s="8">
        <v>0.7</v>
      </c>
      <c r="E30" s="11">
        <v>0</v>
      </c>
      <c r="F30" s="11">
        <v>0</v>
      </c>
    </row>
    <row r="31" spans="1:6" x14ac:dyDescent="0.25">
      <c r="A31" t="s">
        <v>108</v>
      </c>
      <c r="B31" t="s">
        <v>107</v>
      </c>
      <c r="C31" s="11">
        <v>320</v>
      </c>
      <c r="D31" s="8">
        <v>0.7</v>
      </c>
      <c r="E31" s="11">
        <v>0</v>
      </c>
      <c r="F31" s="11">
        <v>0</v>
      </c>
    </row>
    <row r="32" spans="1:6" x14ac:dyDescent="0.25">
      <c r="A32" t="s">
        <v>108</v>
      </c>
      <c r="B32" t="s">
        <v>107</v>
      </c>
      <c r="C32" s="11">
        <v>320</v>
      </c>
      <c r="D32" s="8">
        <v>0.7</v>
      </c>
      <c r="E32" s="11">
        <v>0</v>
      </c>
      <c r="F32" s="11">
        <v>0</v>
      </c>
    </row>
    <row r="33" spans="1:6" x14ac:dyDescent="0.25">
      <c r="A33" t="s">
        <v>108</v>
      </c>
      <c r="B33" t="s">
        <v>107</v>
      </c>
      <c r="C33" s="11">
        <v>320</v>
      </c>
      <c r="D33" s="8">
        <v>0.7</v>
      </c>
      <c r="E33" s="11">
        <v>0</v>
      </c>
      <c r="F33" s="11">
        <v>0</v>
      </c>
    </row>
    <row r="35" spans="1:2" x14ac:dyDescent="0.25">
      <c r="A35" t="s">
        <v>109</v>
      </c>
      <c r="B35" s="4">
        <f>COUNTIF(B2:B33,"STR")</f>
        <v>32</v>
      </c>
    </row>
    <row r="36" spans="1:2" x14ac:dyDescent="0.25">
      <c r="A36" t="s">
        <v>110</v>
      </c>
      <c r="B36" s="5">
        <f>SUMPRODUCT(C2:C33,D2:D33,--(B2:B33="STR"))/SUMPRODUCT(D2:D33,--(B2:B33="STR"))</f>
        <v>237.50000000000014</v>
      </c>
    </row>
    <row r="37" spans="1:2" x14ac:dyDescent="0.25">
      <c r="A37" t="s">
        <v>111</v>
      </c>
      <c r="B37" s="5">
        <f>SUMPRODUCT(365*D2:D33/alos,E2:E33/(1+iva),--(B2:B33="STR"))</f>
        <v>0</v>
      </c>
    </row>
    <row r="38" spans="1:2" x14ac:dyDescent="0.25">
      <c r="A38" t="s">
        <v>112</v>
      </c>
      <c r="B38" s="5">
        <f>SUMPRODUCT(F2:F33,--(B2:B33&lt;&gt;"STR"),--(B2:B33&lt;&gt;"MTR"))*12</f>
        <v>0</v>
      </c>
    </row>
    <row r="39" spans="1:2" x14ac:dyDescent="0.25">
      <c r="A39" t="s">
        <v>113</v>
      </c>
      <c r="B39" s="4">
        <f>COUNTIF(B2:B33,"MTR")</f>
        <v>0</v>
      </c>
    </row>
    <row r="40" spans="1:2" x14ac:dyDescent="0.25">
      <c r="A40" t="s">
        <v>114</v>
      </c>
      <c r="B40" s="4">
        <f>unit_n+mtr_n</f>
        <v>32</v>
      </c>
    </row>
    <row r="41" spans="1:2" x14ac:dyDescent="0.25">
      <c r="A41" t="s">
        <v>115</v>
      </c>
      <c r="B41" s="5">
        <f>SUMPRODUCT(F2:F33,--(B2:B33="MTR"))*12</f>
        <v>0</v>
      </c>
    </row>
    <row r="42" spans="1:2" x14ac:dyDescent="0.25">
      <c r="A42" t="s">
        <v>116</v>
      </c>
      <c r="B42" s="12">
        <f>SUMPRODUCT(D2:D33,--(B2:B33="STR"))*365/alos</f>
        <v>3270.3999999999983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8900000</v>
      </c>
    </row>
    <row r="3" spans="1:2" x14ac:dyDescent="0.25">
      <c r="A3" t="s">
        <v>118</v>
      </c>
      <c r="B3" s="9">
        <v>32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260000</v>
      </c>
    </row>
    <row r="15" spans="1:2" x14ac:dyDescent="0.25">
      <c r="A15" t="s">
        <v>130</v>
      </c>
      <c r="B15" s="11">
        <v>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12000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90000</v>
      </c>
    </row>
    <row r="20" spans="1:2" x14ac:dyDescent="0.25">
      <c r="A20" t="s">
        <v>135</v>
      </c>
      <c r="B20" s="11">
        <v>110000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920950</v>
      </c>
    </row>
    <row r="24" spans="1:2" x14ac:dyDescent="0.25">
      <c r="A24" t="s">
        <v>138</v>
      </c>
      <c r="B24" s="5">
        <f>(reno_u*(units_c-1)+appl_u*units_c+common_f+deep_f)*(1+conting_pct)</f>
        <v>324000</v>
      </c>
    </row>
    <row r="25" spans="1:2" x14ac:dyDescent="0.25">
      <c r="A25" t="s">
        <v>139</v>
      </c>
      <c r="B25" s="5">
        <f>(ffe_u+itl_u)*units_c</f>
        <v>428800</v>
      </c>
    </row>
    <row r="26" spans="1:2" x14ac:dyDescent="0.25">
      <c r="A26" t="s">
        <v>140</v>
      </c>
      <c r="B26" s="5">
        <f>permits_f+arch_f</f>
        <v>200000</v>
      </c>
    </row>
    <row r="27" spans="1:2" x14ac:dyDescent="0.25">
      <c r="A27" t="s">
        <v>141</v>
      </c>
      <c r="B27" s="5">
        <f>price+B23+B24+B25+B26</f>
        <v>10773750</v>
      </c>
    </row>
    <row r="28" spans="1:2" x14ac:dyDescent="0.25">
      <c r="A28" t="s">
        <v>142</v>
      </c>
      <c r="B28" s="5">
        <f>gp_fee_pct*cost_base/(1-gp_fee_pct)</f>
        <v>219872.44897959183</v>
      </c>
    </row>
    <row r="29" spans="1:2" x14ac:dyDescent="0.25">
      <c r="A29" s="3" t="s">
        <v>143</v>
      </c>
      <c r="B29" s="5">
        <f>cost_base+B28</f>
        <v>10993622.448979592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68040</v>
      </c>
    </row>
    <row r="33" spans="1:2" x14ac:dyDescent="0.25">
      <c r="A33" t="s">
        <v>147</v>
      </c>
      <c r="B33" s="5">
        <f>vat_ffe*B25</f>
        <v>90048</v>
      </c>
    </row>
    <row r="34" spans="1:2" x14ac:dyDescent="0.25">
      <c r="A34" t="s">
        <v>148</v>
      </c>
      <c r="B34" s="5">
        <f>vat_soft*B26</f>
        <v>42000</v>
      </c>
    </row>
    <row r="35" spans="1:2" x14ac:dyDescent="0.25">
      <c r="A35" t="s">
        <v>149</v>
      </c>
      <c r="B35" s="5">
        <f>vat_fees*(B23-ajd_pct*price-itp_pct*price)</f>
        <v>67242</v>
      </c>
    </row>
    <row r="36" spans="1:2" x14ac:dyDescent="0.25">
      <c r="A36" s="3" t="s">
        <v>150</v>
      </c>
      <c r="B36" s="5">
        <f>SUM(B31:B35)</f>
        <v>267330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9" width="12" customWidth="1"/>
  </cols>
  <sheetData>
    <row r="1" spans="1:1" x14ac:dyDescent="0.25">
      <c r="A1" s="2" t="s">
        <v>151</v>
      </c>
    </row>
    <row r="2" spans="3:9" x14ac:dyDescent="0.25">
      <c r="C2" s="3" t="s">
        <v>152</v>
      </c>
      <c r="D2" s="3" t="s">
        <v>153</v>
      </c>
      <c r="E2" s="3" t="s">
        <v>154</v>
      </c>
      <c r="F2" s="3" t="s">
        <v>155</v>
      </c>
      <c r="G2" s="3" t="s">
        <v>156</v>
      </c>
      <c r="H2" s="3" t="s">
        <v>157</v>
      </c>
      <c r="I2" s="3" t="s">
        <v>158</v>
      </c>
    </row>
    <row r="3" spans="1:9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  <c r="G3" s="6">
        <f>occ_stab</f>
        <v>0.82</v>
      </c>
      <c r="H3" s="6">
        <f>occ_stab</f>
        <v>0.82</v>
      </c>
      <c r="I3" s="6">
        <f>occ_stab</f>
        <v>0.82</v>
      </c>
    </row>
    <row r="4" spans="1:9" x14ac:dyDescent="0.25">
      <c r="A4" t="s">
        <v>159</v>
      </c>
      <c r="C4" s="5">
        <f>blended_incl/(1+iva)*adr_y1f</f>
        <v>205.11363636363646</v>
      </c>
      <c r="D4" s="5">
        <f>blended_incl/(1+iva)</f>
        <v>215.90909090909102</v>
      </c>
      <c r="E4" s="5">
        <f>D4*(1+adr_infl)</f>
        <v>220.22727272727283</v>
      </c>
      <c r="F4" s="5">
        <f>E4*(1+adr_infl)</f>
        <v>224.6318181818183</v>
      </c>
      <c r="G4" s="5">
        <f>F4*(1+adr_infl)</f>
        <v>229.12445454545465</v>
      </c>
      <c r="H4" s="5">
        <f>G4*(1+adr_infl)</f>
        <v>233.70694363636375</v>
      </c>
      <c r="I4" s="5">
        <f>H4*(1+adr_infl)</f>
        <v>238.38108250909102</v>
      </c>
    </row>
    <row r="5" spans="1:9" x14ac:dyDescent="0.25">
      <c r="A5" t="s">
        <v>160</v>
      </c>
      <c r="C5" s="5">
        <f>C3*365*C4*unit_n</f>
        <v>1820752.727272728</v>
      </c>
      <c r="D5" s="5">
        <f>D3*365*D4*unit_n</f>
        <v>1992236.363636365</v>
      </c>
      <c r="E5" s="5">
        <f>E3*365*E4*unit_n</f>
        <v>2109248.727272728</v>
      </c>
      <c r="F5" s="5">
        <f>F3*365*F4*unit_n</f>
        <v>2151433.7018181826</v>
      </c>
      <c r="G5" s="5">
        <f>G3*365*G4*unit_n</f>
        <v>2194462.375854546</v>
      </c>
      <c r="H5" s="5">
        <f>H3*365*H4*unit_n</f>
        <v>2238351.623371637</v>
      </c>
      <c r="I5" s="5">
        <f>I3*365*I4*unit_n</f>
        <v>2283118.6558390697</v>
      </c>
    </row>
    <row r="6" spans="1:9" x14ac:dyDescent="0.25">
      <c r="A6" t="s">
        <v>161</v>
      </c>
      <c r="C6" s="5">
        <f>clean_base*C3/occ_stab</f>
        <v>0</v>
      </c>
      <c r="D6" s="5">
        <f>clean_base*D3/occ_stab</f>
        <v>0</v>
      </c>
      <c r="E6" s="5">
        <f>clean_base*E3/occ_stab</f>
        <v>0</v>
      </c>
      <c r="F6" s="5">
        <f>clean_base*F3/occ_stab</f>
        <v>0</v>
      </c>
      <c r="G6" s="5">
        <f>clean_base*G3/occ_stab</f>
        <v>0</v>
      </c>
      <c r="H6" s="5">
        <f>clean_base*H3/occ_stab</f>
        <v>0</v>
      </c>
      <c r="I6" s="5">
        <f>clean_base*I3/occ_stab</f>
        <v>0</v>
      </c>
    </row>
    <row r="7" spans="1:9" x14ac:dyDescent="0.25">
      <c r="A7" t="s">
        <v>162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  <c r="H7" s="5">
        <f>mtr_rent_a*(1+mtr_rinfl)^MAX(0,6-2)</f>
        <v>0</v>
      </c>
      <c r="I7" s="5">
        <f>mtr_rent_a*(1+mtr_rinfl)^MAX(0,7-2)</f>
        <v>0</v>
      </c>
    </row>
    <row r="8" spans="1:9" x14ac:dyDescent="0.25">
      <c r="A8" t="s">
        <v>163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</row>
    <row r="9" spans="1:9" x14ac:dyDescent="0.25">
      <c r="A9" s="3" t="s">
        <v>164</v>
      </c>
      <c r="C9" s="5">
        <f>C5+C6+C7+C8</f>
        <v>1820752.727272728</v>
      </c>
      <c r="D9" s="5">
        <f>D5+D6+D7+D8</f>
        <v>1992236.363636365</v>
      </c>
      <c r="E9" s="5">
        <f>E5+E6+E7+E8</f>
        <v>2109248.727272728</v>
      </c>
      <c r="F9" s="5">
        <f>F5+F6+F7+F8</f>
        <v>2151433.7018181826</v>
      </c>
      <c r="G9" s="5">
        <f>G5+G6+G7+G8</f>
        <v>2194462.375854546</v>
      </c>
      <c r="H9" s="5">
        <f>H5+H6+H7+H8</f>
        <v>2238351.623371637</v>
      </c>
      <c r="I9" s="5">
        <f>I5+I6+I7+I8</f>
        <v>2283118.6558390697</v>
      </c>
    </row>
    <row r="10" spans="1:9" x14ac:dyDescent="0.25">
      <c r="A10" t="s">
        <v>165</v>
      </c>
      <c r="C10" s="5">
        <f>-(C5+C6)*comm_pct</f>
        <v>-309527.9636363638</v>
      </c>
      <c r="D10" s="5">
        <f>-(D5+D6)*comm_pct</f>
        <v>-338680.18181818206</v>
      </c>
      <c r="E10" s="5">
        <f>-(E5+E6)*comm_pct</f>
        <v>-358572.2836363638</v>
      </c>
      <c r="F10" s="5">
        <f>-(F5+F6)*comm_pct</f>
        <v>-365743.72930909105</v>
      </c>
      <c r="G10" s="5">
        <f>-(G5+G6)*comm_pct</f>
        <v>-373058.6038952729</v>
      </c>
      <c r="H10" s="5">
        <f>-(H5+H6)*comm_pct</f>
        <v>-380519.77597317833</v>
      </c>
      <c r="I10" s="5">
        <f>-(I5+I6)*comm_pct</f>
        <v>-388130.1714926419</v>
      </c>
    </row>
    <row r="11" spans="1:9" x14ac:dyDescent="0.25">
      <c r="A11" t="s">
        <v>166</v>
      </c>
      <c r="C11" s="5">
        <f>-turn_base*C3/occ_stab*hk_hours*hk_rate*C34</f>
        <v>-42435.434146341446</v>
      </c>
      <c r="D11" s="5">
        <f>-turn_base*D3/occ_stab*hk_hours*hk_rate*D34</f>
        <v>-44992.72741463413</v>
      </c>
      <c r="E11" s="5">
        <f>-turn_base*E3/occ_stab*hk_hours*hk_rate*E34</f>
        <v>-47635.338239999975</v>
      </c>
      <c r="F11" s="5">
        <f>-turn_base*F3/occ_stab*hk_hours*hk_rate*F34</f>
        <v>-48588.045004799984</v>
      </c>
      <c r="G11" s="5">
        <f>-turn_base*G3/occ_stab*hk_hours*hk_rate*G34</f>
        <v>-49559.80590489598</v>
      </c>
      <c r="H11" s="5">
        <f>-turn_base*H3/occ_stab*hk_hours*hk_rate*H34</f>
        <v>-50551.0020229939</v>
      </c>
      <c r="I11" s="5">
        <f>-turn_base*I3/occ_stab*hk_hours*hk_rate*I34</f>
        <v>-51562.022063453776</v>
      </c>
    </row>
    <row r="12" spans="1:9" x14ac:dyDescent="0.25">
      <c r="A12" t="s">
        <v>167</v>
      </c>
      <c r="C12" s="5">
        <f>-turn_base*C3/occ_stab*linen_t*C34</f>
        <v>-18186.61463414633</v>
      </c>
      <c r="D12" s="5">
        <f>-turn_base*D3/occ_stab*linen_t*D34</f>
        <v>-19282.597463414626</v>
      </c>
      <c r="E12" s="5">
        <f>-turn_base*E3/occ_stab*linen_t*E34</f>
        <v>-20415.14495999999</v>
      </c>
      <c r="F12" s="5">
        <f>-turn_base*F3/occ_stab*linen_t*F34</f>
        <v>-20823.447859199994</v>
      </c>
      <c r="G12" s="5">
        <f>-turn_base*G3/occ_stab*linen_t*G34</f>
        <v>-21239.91681638399</v>
      </c>
      <c r="H12" s="5">
        <f>-turn_base*H3/occ_stab*linen_t*H34</f>
        <v>-21664.71515271167</v>
      </c>
      <c r="I12" s="5">
        <f>-turn_base*I3/occ_stab*linen_t*I34</f>
        <v>-22098.009455765903</v>
      </c>
    </row>
    <row r="13" spans="1:9" x14ac:dyDescent="0.25">
      <c r="A13" t="s">
        <v>168</v>
      </c>
      <c r="C13" s="5">
        <f>-turn_base*C3/occ_stab*amen_t*C34</f>
        <v>-12124.409756097555</v>
      </c>
      <c r="D13" s="5">
        <f>-turn_base*D3/occ_stab*amen_t*D34</f>
        <v>-12855.06497560975</v>
      </c>
      <c r="E13" s="5">
        <f>-turn_base*E3/occ_stab*amen_t*E34</f>
        <v>-13610.096639999992</v>
      </c>
      <c r="F13" s="5">
        <f>-turn_base*F3/occ_stab*amen_t*F34</f>
        <v>-13882.298572799995</v>
      </c>
      <c r="G13" s="5">
        <f>-turn_base*G3/occ_stab*amen_t*G34</f>
        <v>-14159.944544255992</v>
      </c>
      <c r="H13" s="5">
        <f>-turn_base*H3/occ_stab*amen_t*H34</f>
        <v>-14443.143435141112</v>
      </c>
      <c r="I13" s="5">
        <f>-turn_base*I3/occ_stab*amen_t*I34</f>
        <v>-14732.006303843935</v>
      </c>
    </row>
    <row r="14" spans="1:9" x14ac:dyDescent="0.25">
      <c r="A14" s="3" t="s">
        <v>169</v>
      </c>
      <c r="C14" s="5">
        <f>C10+C11+C12+C13</f>
        <v>-382274.4221729491</v>
      </c>
      <c r="D14" s="5">
        <f>D10+D11+D12+D13</f>
        <v>-415810.57167184056</v>
      </c>
      <c r="E14" s="5">
        <f>E10+E11+E12+E13</f>
        <v>-440232.86347636377</v>
      </c>
      <c r="F14" s="5">
        <f>F10+F11+F12+F13</f>
        <v>-449037.52074589103</v>
      </c>
      <c r="G14" s="5">
        <f>G10+G11+G12+G13</f>
        <v>-458018.27116080886</v>
      </c>
      <c r="H14" s="5">
        <f>H10+H11+H12+H13</f>
        <v>-467178.636584025</v>
      </c>
      <c r="I14" s="5">
        <f>I10+I11+I12+I13</f>
        <v>-476522.2093157055</v>
      </c>
    </row>
    <row r="15" spans="1:9" x14ac:dyDescent="0.25">
      <c r="A15" t="s">
        <v>170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  <c r="G15" s="5">
        <f>-admin_m*12*G34</f>
        <v>-2597.837184</v>
      </c>
      <c r="H15" s="5">
        <f>-admin_m*12*H34</f>
        <v>-2649.7939276800003</v>
      </c>
      <c r="I15" s="5">
        <f>-admin_m*12*I34</f>
        <v>-2702.7898062336003</v>
      </c>
    </row>
    <row r="16" spans="1:9" x14ac:dyDescent="0.25">
      <c r="A16" t="s">
        <v>171</v>
      </c>
      <c r="C16" s="5">
        <f>-(unit_n*util_m+mtr_n*mtr_util_m+cost_unit_n*commu_m)*12*C34</f>
        <v>-52608</v>
      </c>
      <c r="D16" s="5">
        <f>-(unit_n*util_m+mtr_n*mtr_util_m+cost_unit_n*commu_m)*12*D34</f>
        <v>-53660.16</v>
      </c>
      <c r="E16" s="5">
        <f>-(unit_n*util_m+mtr_n*mtr_util_m+cost_unit_n*commu_m)*12*E34</f>
        <v>-54733.3632</v>
      </c>
      <c r="F16" s="5">
        <f>-(unit_n*util_m+mtr_n*mtr_util_m+cost_unit_n*commu_m)*12*F34</f>
        <v>-55828.03046400001</v>
      </c>
      <c r="G16" s="5">
        <f>-(unit_n*util_m+mtr_n*mtr_util_m+cost_unit_n*commu_m)*12*G34</f>
        <v>-56944.59107328</v>
      </c>
      <c r="H16" s="5">
        <f>-(unit_n*util_m+mtr_n*mtr_util_m+cost_unit_n*commu_m)*12*H34</f>
        <v>-58083.482894745604</v>
      </c>
      <c r="I16" s="5">
        <f>-(unit_n*util_m+mtr_n*mtr_util_m+cost_unit_n*commu_m)*12*I34</f>
        <v>-59245.15255264052</v>
      </c>
    </row>
    <row r="17" spans="1:9" x14ac:dyDescent="0.25">
      <c r="A17" t="s">
        <v>172</v>
      </c>
      <c r="C17" s="5">
        <f>-C9*maint_pct</f>
        <v>-21849.032727272737</v>
      </c>
      <c r="D17" s="5">
        <f>-D9*maint_pct</f>
        <v>-23906.83636363638</v>
      </c>
      <c r="E17" s="5">
        <f>-E9*maint_pct</f>
        <v>-25310.984727272735</v>
      </c>
      <c r="F17" s="5">
        <f>-F9*maint_pct</f>
        <v>-25817.20442181819</v>
      </c>
      <c r="G17" s="5">
        <f>-G9*maint_pct</f>
        <v>-26333.548510254554</v>
      </c>
      <c r="H17" s="5">
        <f>-H9*maint_pct</f>
        <v>-26860.219480459644</v>
      </c>
      <c r="I17" s="5">
        <f>-I9*maint_pct</f>
        <v>-27397.423870068837</v>
      </c>
    </row>
    <row r="18" spans="1:9" x14ac:dyDescent="0.25">
      <c r="A18" t="s">
        <v>173</v>
      </c>
      <c r="C18" s="5">
        <f>-cost_unit_n*12*it_m*C34</f>
        <v>-15360</v>
      </c>
      <c r="D18" s="5">
        <f>-cost_unit_n*12*it_m*D34</f>
        <v>-15667.2</v>
      </c>
      <c r="E18" s="5">
        <f>-cost_unit_n*12*it_m*E34</f>
        <v>-15980.544</v>
      </c>
      <c r="F18" s="5">
        <f>-cost_unit_n*12*it_m*F34</f>
        <v>-16300.154880000002</v>
      </c>
      <c r="G18" s="5">
        <f>-cost_unit_n*12*it_m*G34</f>
        <v>-16626.1579776</v>
      </c>
      <c r="H18" s="5">
        <f>-cost_unit_n*12*it_m*H34</f>
        <v>-16958.681137152</v>
      </c>
      <c r="I18" s="5">
        <f>-cost_unit_n*12*it_m*I34</f>
        <v>-17297.854759895043</v>
      </c>
    </row>
    <row r="19" spans="1:9" x14ac:dyDescent="0.25">
      <c r="A19" t="s">
        <v>174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  <c r="G19" s="5">
        <f>-15000*G34</f>
        <v>-16236.482399999999</v>
      </c>
      <c r="H19" s="5">
        <f>-15000*H34</f>
        <v>-16561.212048</v>
      </c>
      <c r="I19" s="5">
        <f>-15000*I34</f>
        <v>-16892.43628896</v>
      </c>
    </row>
    <row r="20" spans="1:9" x14ac:dyDescent="0.25">
      <c r="A20" t="s">
        <v>175</v>
      </c>
      <c r="C20" s="5">
        <f>-4*cost_unit_n*12*C34</f>
        <v>-1536</v>
      </c>
      <c r="D20" s="5">
        <f>-4*cost_unit_n*12*D34</f>
        <v>-1566.72</v>
      </c>
      <c r="E20" s="5">
        <f>-4*cost_unit_n*12*E34</f>
        <v>-1598.0544</v>
      </c>
      <c r="F20" s="5">
        <f>-4*cost_unit_n*12*F34</f>
        <v>-1630.0154880000002</v>
      </c>
      <c r="G20" s="5">
        <f>-4*cost_unit_n*12*G34</f>
        <v>-1662.61579776</v>
      </c>
      <c r="H20" s="5">
        <f>-4*cost_unit_n*12*H34</f>
        <v>-1695.8681137152</v>
      </c>
      <c r="I20" s="5">
        <f>-4*cost_unit_n*12*I34</f>
        <v>-1729.785475989504</v>
      </c>
    </row>
    <row r="21" spans="1:9" x14ac:dyDescent="0.25">
      <c r="A21" s="3" t="s">
        <v>176</v>
      </c>
      <c r="C21" s="5">
        <f>C15+C16+C17+C18+C19+C20</f>
        <v>-108753.03272727274</v>
      </c>
      <c r="D21" s="5">
        <f>D15+D16+D17+D18+D19+D20</f>
        <v>-112548.91636363638</v>
      </c>
      <c r="E21" s="5">
        <f>E15+E16+E17+E18+E19+E20</f>
        <v>-115725.90632727274</v>
      </c>
      <c r="F21" s="5">
        <f>F15+F16+F17+F18+F19+F20</f>
        <v>-118040.4244538182</v>
      </c>
      <c r="G21" s="5">
        <f>G15+G16+G17+G18+G19+G20</f>
        <v>-120401.23294289455</v>
      </c>
      <c r="H21" s="5">
        <f>H15+H16+H17+H18+H19+H20</f>
        <v>-122809.25760175246</v>
      </c>
      <c r="I21" s="5">
        <f>I15+I16+I17+I18+I19+I20</f>
        <v>-125265.4427537875</v>
      </c>
    </row>
    <row r="22" spans="1:9" x14ac:dyDescent="0.25">
      <c r="A22" s="3" t="s">
        <v>177</v>
      </c>
      <c r="C22" s="5">
        <f>C9+C14+C21</f>
        <v>1329725.272372506</v>
      </c>
      <c r="D22" s="5">
        <f>D9+D14+D21</f>
        <v>1463876.875600888</v>
      </c>
      <c r="E22" s="5">
        <f>E9+E14+E21</f>
        <v>1553289.9574690913</v>
      </c>
      <c r="F22" s="5">
        <f>F9+F14+F21</f>
        <v>1584355.7566184734</v>
      </c>
      <c r="G22" s="5">
        <f>G9+G14+G21</f>
        <v>1616042.8717508428</v>
      </c>
      <c r="H22" s="5">
        <f>H9+H14+H21</f>
        <v>1648363.7291858594</v>
      </c>
      <c r="I22" s="5">
        <f>I9+I14+I21</f>
        <v>1681331.0037695768</v>
      </c>
    </row>
    <row r="23" spans="1:9" x14ac:dyDescent="0.25">
      <c r="A23" t="s">
        <v>178</v>
      </c>
      <c r="C23" s="5">
        <f>-C9*mgmt_pct</f>
        <v>-282216.67272727285</v>
      </c>
      <c r="D23" s="5">
        <f>-D9*mgmt_pct</f>
        <v>-308796.6363636366</v>
      </c>
      <c r="E23" s="5">
        <f>-E9*mgmt_pct</f>
        <v>-326933.55272727285</v>
      </c>
      <c r="F23" s="5">
        <f>-F9*mgmt_pct</f>
        <v>-333472.2237818183</v>
      </c>
      <c r="G23" s="5">
        <f>-G9*mgmt_pct</f>
        <v>-340141.66825745464</v>
      </c>
      <c r="H23" s="5">
        <f>-H9*mgmt_pct</f>
        <v>-346944.50162260374</v>
      </c>
      <c r="I23" s="5">
        <f>-I9*mgmt_pct</f>
        <v>-353883.3916550558</v>
      </c>
    </row>
    <row r="24" spans="1:9" x14ac:dyDescent="0.25">
      <c r="A24" s="3" t="s">
        <v>179</v>
      </c>
      <c r="C24" s="5">
        <f>C23</f>
        <v>-282216.67272727285</v>
      </c>
      <c r="D24" s="5">
        <f>D23</f>
        <v>-308796.6363636366</v>
      </c>
      <c r="E24" s="5">
        <f>E23</f>
        <v>-326933.55272727285</v>
      </c>
      <c r="F24" s="5">
        <f>F23</f>
        <v>-333472.2237818183</v>
      </c>
      <c r="G24" s="5">
        <f>G23</f>
        <v>-340141.66825745464</v>
      </c>
      <c r="H24" s="5">
        <f>H23</f>
        <v>-346944.50162260374</v>
      </c>
      <c r="I24" s="5">
        <f>I23</f>
        <v>-353883.3916550558</v>
      </c>
    </row>
    <row r="25" spans="1:9" x14ac:dyDescent="0.25">
      <c r="A25" s="3" t="s">
        <v>180</v>
      </c>
      <c r="C25" s="5">
        <f>C22+C24</f>
        <v>1047508.5996452332</v>
      </c>
      <c r="D25" s="5">
        <f>D22+D24</f>
        <v>1155080.2392372515</v>
      </c>
      <c r="E25" s="5">
        <f>E22+E24</f>
        <v>1226356.4047418186</v>
      </c>
      <c r="F25" s="5">
        <f>F22+F24</f>
        <v>1250883.5328366552</v>
      </c>
      <c r="G25" s="5">
        <f>G22+G24</f>
        <v>1275901.2034933881</v>
      </c>
      <c r="H25" s="5">
        <f>H22+H24</f>
        <v>1301419.2275632557</v>
      </c>
      <c r="I25" s="5">
        <f>I22+I24</f>
        <v>1327447.612114521</v>
      </c>
    </row>
    <row r="26" spans="1:9" x14ac:dyDescent="0.25">
      <c r="A26" t="s">
        <v>181</v>
      </c>
      <c r="C26" s="5">
        <f>-ibi_a*C34</f>
        <v>-17000</v>
      </c>
      <c r="D26" s="5">
        <f>-ibi_a*D34</f>
        <v>-17340</v>
      </c>
      <c r="E26" s="5">
        <f>-ibi_a*E34</f>
        <v>-17686.8</v>
      </c>
      <c r="F26" s="5">
        <f>-ibi_a*F34</f>
        <v>-18040.536000000004</v>
      </c>
      <c r="G26" s="5">
        <f>-ibi_a*G34</f>
        <v>-18401.34672</v>
      </c>
      <c r="H26" s="5">
        <f>-ibi_a*H34</f>
        <v>-18769.3736544</v>
      </c>
      <c r="I26" s="5">
        <f>-ibi_a*I34</f>
        <v>-19144.761127488</v>
      </c>
    </row>
    <row r="27" spans="1:9" x14ac:dyDescent="0.25">
      <c r="A27" t="s">
        <v>182</v>
      </c>
      <c r="C27" s="5">
        <f>-cost_unit_n*12*ins_m*C34</f>
        <v>-5760</v>
      </c>
      <c r="D27" s="5">
        <f>-cost_unit_n*12*ins_m*D34</f>
        <v>-5875.2</v>
      </c>
      <c r="E27" s="5">
        <f>-cost_unit_n*12*ins_m*E34</f>
        <v>-5992.704</v>
      </c>
      <c r="F27" s="5">
        <f>-cost_unit_n*12*ins_m*F34</f>
        <v>-6112.558080000001</v>
      </c>
      <c r="G27" s="5">
        <f>-cost_unit_n*12*ins_m*G34</f>
        <v>-6234.8092416</v>
      </c>
      <c r="H27" s="5">
        <f>-cost_unit_n*12*ins_m*H34</f>
        <v>-6359.505426432</v>
      </c>
      <c r="I27" s="5">
        <f>-cost_unit_n*12*ins_m*I34</f>
        <v>-6486.6955349606405</v>
      </c>
    </row>
    <row r="28" spans="1:9" x14ac:dyDescent="0.25">
      <c r="A28" s="3" t="s">
        <v>183</v>
      </c>
      <c r="C28" s="5">
        <f>C26+C27</f>
        <v>-22760</v>
      </c>
      <c r="D28" s="5">
        <f>D26+D27</f>
        <v>-23215.2</v>
      </c>
      <c r="E28" s="5">
        <f>E26+E27</f>
        <v>-23679.504</v>
      </c>
      <c r="F28" s="5">
        <f>F26+F27</f>
        <v>-24153.094080000003</v>
      </c>
      <c r="G28" s="5">
        <f>G26+G27</f>
        <v>-24636.1559616</v>
      </c>
      <c r="H28" s="5">
        <f>H26+H27</f>
        <v>-25128.879080831997</v>
      </c>
      <c r="I28" s="5">
        <f>I26+I27</f>
        <v>-25631.45666244864</v>
      </c>
    </row>
    <row r="29" spans="1:9" x14ac:dyDescent="0.25">
      <c r="A29" s="3" t="s">
        <v>184</v>
      </c>
      <c r="C29" s="5">
        <f>C25+C28</f>
        <v>1024748.5996452332</v>
      </c>
      <c r="D29" s="5">
        <f>D25+D28</f>
        <v>1131865.0392372515</v>
      </c>
      <c r="E29" s="5">
        <f>E25+E28</f>
        <v>1202676.9007418186</v>
      </c>
      <c r="F29" s="5">
        <f>F25+F28</f>
        <v>1226730.4387566552</v>
      </c>
      <c r="G29" s="5">
        <f>G25+G28</f>
        <v>1251265.0475317882</v>
      </c>
      <c r="H29" s="5">
        <f>H25+H28</f>
        <v>1276290.3484824237</v>
      </c>
      <c r="I29" s="5">
        <f>I25+I28</f>
        <v>1301816.1554520724</v>
      </c>
    </row>
    <row r="30" spans="1:9" x14ac:dyDescent="0.25">
      <c r="A30" t="s">
        <v>185</v>
      </c>
      <c r="C30" s="5">
        <f>-C9*ffe_pct</f>
        <v>-45518.818181818206</v>
      </c>
      <c r="D30" s="5">
        <f>-D9*ffe_pct</f>
        <v>-49805.909090909125</v>
      </c>
      <c r="E30" s="5">
        <f>-E9*ffe_pct</f>
        <v>-52731.2181818182</v>
      </c>
      <c r="F30" s="5">
        <f>-F9*ffe_pct</f>
        <v>-53785.842545454565</v>
      </c>
      <c r="G30" s="5">
        <f>-G9*ffe_pct</f>
        <v>-54861.55939636366</v>
      </c>
      <c r="H30" s="5">
        <f>-H9*ffe_pct</f>
        <v>-55958.790584290924</v>
      </c>
      <c r="I30" s="5">
        <f>-I9*ffe_pct</f>
        <v>-57077.96639597675</v>
      </c>
    </row>
    <row r="31" spans="1:9" x14ac:dyDescent="0.25">
      <c r="A31" s="3" t="s">
        <v>186</v>
      </c>
      <c r="C31" s="5">
        <f>C29+C30</f>
        <v>979229.781463415</v>
      </c>
      <c r="D31" s="5">
        <f>D29+D30</f>
        <v>1082059.1301463423</v>
      </c>
      <c r="E31" s="5">
        <f>E29+E30</f>
        <v>1149945.6825600003</v>
      </c>
      <c r="F31" s="5">
        <f>F29+F30</f>
        <v>1172944.5962112003</v>
      </c>
      <c r="G31" s="5">
        <f>G29+G30</f>
        <v>1196403.4881354244</v>
      </c>
      <c r="H31" s="5">
        <f>H29+H30</f>
        <v>1220331.5578981328</v>
      </c>
      <c r="I31" s="5">
        <f>I29+I30</f>
        <v>1244738.1890560957</v>
      </c>
    </row>
    <row r="33" spans="1:9" x14ac:dyDescent="0.25">
      <c r="A33" t="s">
        <v>187</v>
      </c>
      <c r="C33" s="5">
        <f>C5+C6+C10+C11+C12+C13</f>
        <v>1438478.3050997788</v>
      </c>
      <c r="D33" s="5">
        <f>D5+D6+D10+D11+D12+D13</f>
        <v>1576425.7919645244</v>
      </c>
      <c r="E33" s="5">
        <f>E5+E6+E10+E11+E12+E13</f>
        <v>1669015.8637963643</v>
      </c>
      <c r="F33" s="5">
        <f>F5+F6+F10+F11+F12+F13</f>
        <v>1702396.1810722915</v>
      </c>
      <c r="G33" s="5">
        <f>G5+G6+G10+G11+G12+G13</f>
        <v>1736444.1046937373</v>
      </c>
      <c r="H33" s="5">
        <f>H5+H6+H10+H11+H12+H13</f>
        <v>1771172.9867876119</v>
      </c>
      <c r="I33" s="5">
        <f>I5+I6+I10+I11+I12+I13</f>
        <v>1806596.4465233644</v>
      </c>
    </row>
    <row r="34" spans="1:9" x14ac:dyDescent="0.25">
      <c r="A34" t="s">
        <v>188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  <c r="G34" s="13">
        <f>(1+cost_infl)^4</f>
        <v>1.08243216</v>
      </c>
      <c r="H34" s="13">
        <f>(1+cost_infl)^5</f>
        <v>1.1040808032</v>
      </c>
      <c r="I34" s="13">
        <f>(1+cost_infl)^6</f>
        <v>1.126162419264</v>
      </c>
    </row>
    <row r="35" spans="1:9" x14ac:dyDescent="0.25">
      <c r="A35" t="s">
        <v>189</v>
      </c>
      <c r="C35" s="5">
        <f>C33+C15+C16+C17+C18+C23+C26+C27+C30+C8+C7</f>
        <v>995765.781463415</v>
      </c>
      <c r="D35" s="5">
        <f>D33+D15+D16+D17+D18+D23+D26+D27+D30+D8+D7</f>
        <v>1098925.8501463423</v>
      </c>
      <c r="E35" s="5">
        <f>E33+E15+E16+E17+E18+E23+E26+E27+E30+E8+E7</f>
        <v>1167149.7369600004</v>
      </c>
      <c r="F35" s="5">
        <f>F33+F15+F16+F17+F18+F23+F26+F27+F30+F8+F7</f>
        <v>1190492.7316992003</v>
      </c>
      <c r="G35" s="5">
        <f>G33+G15+G16+G17+G18+G23+G26+G27+G30+G8+G7</f>
        <v>1214302.5863331845</v>
      </c>
      <c r="H35" s="5">
        <f>H33+H15+H16+H17+H18+H23+H26+H27+H30+H8+H7</f>
        <v>1238588.638059848</v>
      </c>
      <c r="I35" s="5">
        <f>I33+I15+I16+I17+I18+I23+I26+I27+I30+I8+I7</f>
        <v>1263360.4108210453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9" width="12" customWidth="1"/>
  </cols>
  <sheetData>
    <row r="1" spans="1:1" x14ac:dyDescent="0.25">
      <c r="A1" s="2" t="s">
        <v>190</v>
      </c>
    </row>
    <row r="3" spans="1:2" x14ac:dyDescent="0.25">
      <c r="A3" t="s">
        <v>13</v>
      </c>
      <c r="B3" s="5">
        <f>ltv*tpc</f>
        <v>5496811.224489796</v>
      </c>
    </row>
    <row r="4" spans="1:2" x14ac:dyDescent="0.25">
      <c r="A4" t="s">
        <v>15</v>
      </c>
      <c r="B4" s="5">
        <f>apertura_pct*B3+ajdm_pct*B3+tasacion_u*units_c+notaria_pct*B3+registro_pct*B3+gestoria_f</f>
        <v>121884.6301020408</v>
      </c>
    </row>
    <row r="5" spans="1:2" x14ac:dyDescent="0.25">
      <c r="A5" t="s">
        <v>16</v>
      </c>
      <c r="B5" s="5">
        <f>tpc-B3+B4</f>
        <v>5618695.854591837</v>
      </c>
    </row>
    <row r="6" spans="1:2" x14ac:dyDescent="0.25">
      <c r="A6" t="s">
        <v>19</v>
      </c>
      <c r="B6" s="5">
        <f>B5*(1-gp_pct)</f>
        <v>4494956.68367347</v>
      </c>
    </row>
    <row r="7" spans="1:2" x14ac:dyDescent="0.25">
      <c r="A7" t="s">
        <v>20</v>
      </c>
      <c r="B7" s="5">
        <f>B5*gp_pct</f>
        <v>1123739.1709183676</v>
      </c>
    </row>
    <row r="8" spans="1:2" x14ac:dyDescent="0.25">
      <c r="A8" t="s">
        <v>21</v>
      </c>
      <c r="B8" s="5">
        <f>-PMT(rate/12,term*12,B3)*12</f>
        <v>447630.6040542049</v>
      </c>
    </row>
    <row r="10" spans="3:9" x14ac:dyDescent="0.25"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  <c r="H10" s="3" t="s">
        <v>157</v>
      </c>
      <c r="I10" s="3" t="s">
        <v>158</v>
      </c>
    </row>
    <row r="11" spans="1:9" x14ac:dyDescent="0.25">
      <c r="A11" t="s">
        <v>186</v>
      </c>
      <c r="C11" s="5">
        <f>'P&amp;L'!C31</f>
        <v>979229.781463415</v>
      </c>
      <c r="D11" s="5">
        <f>'P&amp;L'!D31</f>
        <v>1082059.1301463423</v>
      </c>
      <c r="E11" s="5">
        <f>'P&amp;L'!E31</f>
        <v>1149945.6825600003</v>
      </c>
      <c r="F11" s="5">
        <f>'P&amp;L'!F31</f>
        <v>1172944.5962112003</v>
      </c>
      <c r="G11" s="5">
        <f>'P&amp;L'!G31</f>
        <v>1196403.4881354244</v>
      </c>
      <c r="H11" s="5">
        <f>'P&amp;L'!H31</f>
        <v>1220331.5578981328</v>
      </c>
      <c r="I11" s="5">
        <f>'P&amp;L'!I31</f>
        <v>1244738.1890560957</v>
      </c>
    </row>
    <row r="12" spans="1:9" x14ac:dyDescent="0.25">
      <c r="A12" t="s">
        <v>191</v>
      </c>
      <c r="C12" s="5">
        <f>IF(B$3=0,0,CUMIPMT(rate/12,term*12,B$3,1,12,0))</f>
        <v>-147396.880633733</v>
      </c>
      <c r="D12" s="5">
        <f>IF(B$3=0,0,CUMIPMT(rate/12,term*12,B$3,13,24,0))</f>
        <v>-139035.58879479664</v>
      </c>
      <c r="E12" s="5">
        <f>IF(B$3=0,0,CUMIPMT(rate/12,term*12,B$3,25,36,0))</f>
        <v>-130441.44103141788</v>
      </c>
      <c r="F12" s="5">
        <f>IF(B$3=0,0,CUMIPMT(rate/12,term*12,B$3,37,48,0))</f>
        <v>-121607.95247468022</v>
      </c>
      <c r="G12" s="5">
        <f>IF(B$3=0,0,CUMIPMT(rate/12,term*12,B$3,49,60,0))</f>
        <v>-112528.45765676271</v>
      </c>
      <c r="H12" s="5">
        <f>IF(B$3=0,0,CUMIPMT(rate/12,term*12,B$3,61,72,0))</f>
        <v>-103196.105481391</v>
      </c>
      <c r="I12" s="5">
        <f>IF(B$3=0,0,CUMIPMT(rate/12,term*12,B$3,73,84,0))</f>
        <v>-93603.85405421961</v>
      </c>
    </row>
    <row r="13" spans="1:9" x14ac:dyDescent="0.25">
      <c r="A13" t="s">
        <v>192</v>
      </c>
      <c r="C13" s="5">
        <f>IF(B$3=0,0,CUMPRINC(rate/12,term*12,B$3,1,12,0))</f>
        <v>-300233.7234204718</v>
      </c>
      <c r="D13" s="5">
        <f>IF(B$3=0,0,CUMPRINC(rate/12,term*12,B$3,13,24,0))</f>
        <v>-308595.0152594082</v>
      </c>
      <c r="E13" s="5">
        <f>IF(B$3=0,0,CUMPRINC(rate/12,term*12,B$3,25,36,0))</f>
        <v>-317189.16302278696</v>
      </c>
      <c r="F13" s="5">
        <f>IF(B$3=0,0,CUMPRINC(rate/12,term*12,B$3,37,48,0))</f>
        <v>-326022.6515795247</v>
      </c>
      <c r="G13" s="5">
        <f>IF(B$3=0,0,CUMPRINC(rate/12,term*12,B$3,49,60,0))</f>
        <v>-335102.14639744215</v>
      </c>
      <c r="H13" s="5">
        <f>IF(B$3=0,0,CUMPRINC(rate/12,term*12,B$3,61,72,0))</f>
        <v>-344434.4985728138</v>
      </c>
      <c r="I13" s="5">
        <f>IF(B$3=0,0,CUMPRINC(rate/12,term*12,B$3,73,84,0))</f>
        <v>-354026.7499999852</v>
      </c>
    </row>
    <row r="14" spans="1:9" x14ac:dyDescent="0.25">
      <c r="A14" t="s">
        <v>193</v>
      </c>
      <c r="C14" s="5">
        <f>C11+C12+C13</f>
        <v>531599.1774092102</v>
      </c>
      <c r="D14" s="5">
        <f>D11+D12+D13</f>
        <v>634428.5260921374</v>
      </c>
      <c r="E14" s="5">
        <f>E11+E12+E13</f>
        <v>702315.0785057954</v>
      </c>
      <c r="F14" s="5">
        <f>F11+F12+F13</f>
        <v>725313.9921569955</v>
      </c>
      <c r="G14" s="5">
        <f>G11+G12+G13</f>
        <v>748772.8840812196</v>
      </c>
      <c r="H14" s="5">
        <f>H11+H12+H13</f>
        <v>772700.953843928</v>
      </c>
      <c r="I14" s="5">
        <f>I11+I12+I13</f>
        <v>797107.5850018909</v>
      </c>
    </row>
    <row r="15" spans="1:9" x14ac:dyDescent="0.25">
      <c r="A15" t="s">
        <v>194</v>
      </c>
      <c r="C15" s="5">
        <f>MAX(0,C14)</f>
        <v>531599.1774092102</v>
      </c>
      <c r="D15" s="5">
        <f>MAX(0,D14)</f>
        <v>634428.5260921374</v>
      </c>
      <c r="E15" s="5">
        <f>MAX(0,E14)</f>
        <v>702315.0785057954</v>
      </c>
      <c r="F15" s="5">
        <f>MAX(0,F14)</f>
        <v>725313.9921569955</v>
      </c>
      <c r="G15" s="5">
        <f>MAX(0,G14)</f>
        <v>748772.8840812196</v>
      </c>
      <c r="H15" s="5">
        <f>MAX(0,H14)</f>
        <v>772700.953843928</v>
      </c>
      <c r="I15" s="5">
        <f>MAX(0,I14)</f>
        <v>797107.5850018909</v>
      </c>
    </row>
    <row r="16" spans="1:9" x14ac:dyDescent="0.25">
      <c r="A16" t="s">
        <v>195</v>
      </c>
      <c r="C16" s="5">
        <f>4854553.218367348</f>
        <v>4854553.218367348</v>
      </c>
      <c r="D16" s="5">
        <f>4783615.786555178</f>
        <v>4783615.786555178</v>
      </c>
      <c r="E16" s="5">
        <f>4618158.802935986</f>
        <v>4618158.802935986</v>
      </c>
      <c r="F16" s="5">
        <f>4380811.279341858</f>
        <v>4380811.279341858</v>
      </c>
      <c r="G16" s="5">
        <f>4104604.8924655644</f>
        <v>4104604.8924655644</v>
      </c>
      <c r="H16" s="5">
        <f>3786033.512016635</f>
        <v>3786033.512016635</v>
      </c>
      <c r="I16" s="5">
        <f>3421302.568856813</f>
        <v>3421302.568856813</v>
      </c>
    </row>
    <row r="17" spans="1:9" x14ac:dyDescent="0.25">
      <c r="A17" t="s">
        <v>196</v>
      </c>
      <c r="C17" s="5">
        <f>5034351.4857142875</f>
        <v>5034351.4857142875</v>
      </c>
      <c r="D17" s="5">
        <f>5162160.80104135</f>
        <v>5162160.80104135</v>
      </c>
      <c r="E17" s="5">
        <f>5213172.1377877565</f>
        <v>5213172.1377877565</v>
      </c>
      <c r="F17" s="5">
        <f>5209478.483981095</f>
        <v>5209478.483981095</v>
      </c>
      <c r="G17" s="5">
        <f>5184734.565086159</f>
        <v>5184734.565086159</v>
      </c>
      <c r="H17" s="5">
        <f>5136002.208759728</f>
        <v>5136002.208759728</v>
      </c>
      <c r="I17" s="5">
        <f>5059982.4191667335</f>
        <v>5059982.4191667335</v>
      </c>
    </row>
    <row r="18" spans="1:9" x14ac:dyDescent="0.25">
      <c r="A18" t="s">
        <v>197</v>
      </c>
      <c r="C18" s="5">
        <f>0</f>
        <v>0</v>
      </c>
      <c r="D18" s="5">
        <f>C18+C22</f>
        <v>425279.34192736814</v>
      </c>
      <c r="E18" s="5">
        <f>D18+D22</f>
        <v>932822.162801078</v>
      </c>
      <c r="F18" s="5">
        <f>E18+E22</f>
        <v>1494674.2256057144</v>
      </c>
      <c r="G18" s="5">
        <f>F18+F22</f>
        <v>2074925.4193313108</v>
      </c>
      <c r="H18" s="5">
        <f>G18+G22</f>
        <v>2673943.7265962865</v>
      </c>
      <c r="I18" s="5">
        <f>H18+H22</f>
        <v>3292104.4896714287</v>
      </c>
    </row>
    <row r="19" spans="1:9" x14ac:dyDescent="0.25">
      <c r="A19" t="s">
        <v>198</v>
      </c>
      <c r="C19" s="5">
        <f>531599.1774092102</f>
        <v>531599.1774092102</v>
      </c>
      <c r="D19" s="5">
        <f>634428.5260921374</f>
        <v>634428.5260921374</v>
      </c>
      <c r="E19" s="5">
        <f>702315.0785057954</f>
        <v>702315.0785057954</v>
      </c>
      <c r="F19" s="5">
        <f>725313.9921569955</f>
        <v>725313.9921569955</v>
      </c>
      <c r="G19" s="5">
        <f>748772.8840812196</f>
        <v>748772.8840812196</v>
      </c>
      <c r="H19" s="5">
        <f>772700.953843928</f>
        <v>772700.953843928</v>
      </c>
      <c r="I19" s="5">
        <f>797107.5850018909</f>
        <v>797107.5850018909</v>
      </c>
    </row>
    <row r="20" spans="1:9" x14ac:dyDescent="0.25">
      <c r="A20" t="s">
        <v>199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</row>
    <row r="21" spans="1:9" x14ac:dyDescent="0.25">
      <c r="A21" t="s">
        <v>200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</row>
    <row r="22" spans="1:9" x14ac:dyDescent="0.25">
      <c r="A22" t="s">
        <v>201</v>
      </c>
      <c r="C22" s="5">
        <f>425279.34192736814</f>
        <v>425279.34192736814</v>
      </c>
      <c r="D22" s="5">
        <f>507542.8208737099</f>
        <v>507542.8208737099</v>
      </c>
      <c r="E22" s="5">
        <f>561852.0628046363</f>
        <v>561852.0628046363</v>
      </c>
      <c r="F22" s="5">
        <f>580251.1937255963</f>
        <v>580251.1937255963</v>
      </c>
      <c r="G22" s="5">
        <f>599018.3072649756</f>
        <v>599018.3072649756</v>
      </c>
      <c r="H22" s="5">
        <f>618160.7630751423</f>
        <v>618160.7630751423</v>
      </c>
      <c r="I22" s="5">
        <f>637686.0680015127</f>
        <v>637686.0680015127</v>
      </c>
    </row>
    <row r="23" spans="1:9" x14ac:dyDescent="0.25">
      <c r="A23" t="s">
        <v>202</v>
      </c>
      <c r="C23" s="5">
        <f>106319.8354818421</f>
        <v>106319.8354818421</v>
      </c>
      <c r="D23" s="5">
        <f>126885.70521842752</f>
        <v>126885.70521842752</v>
      </c>
      <c r="E23" s="5">
        <f>140463.01570115914</f>
        <v>140463.01570115914</v>
      </c>
      <c r="F23" s="5">
        <f>145062.79843139916</f>
        <v>145062.79843139916</v>
      </c>
      <c r="G23" s="5">
        <f>149754.57681624393</f>
        <v>149754.57681624393</v>
      </c>
      <c r="H23" s="5">
        <f>154540.19076878566</f>
        <v>154540.19076878566</v>
      </c>
      <c r="I23" s="5">
        <f>159421.51700037823</f>
        <v>159421.51700037823</v>
      </c>
    </row>
    <row r="25" spans="1:2" x14ac:dyDescent="0.25">
      <c r="A25" t="s">
        <v>203</v>
      </c>
      <c r="B25" s="5">
        <f>'P&amp;L'!I31</f>
        <v>1244738.1890560957</v>
      </c>
    </row>
    <row r="26" spans="1:2" x14ac:dyDescent="0.25">
      <c r="A26" t="s">
        <v>204</v>
      </c>
      <c r="B26" s="5">
        <f>B25/cap</f>
        <v>17781974.129372794</v>
      </c>
    </row>
    <row r="27" spans="1:2" x14ac:dyDescent="0.25">
      <c r="A27" t="s">
        <v>27</v>
      </c>
      <c r="B27" s="5">
        <f>-B26*sell_pct</f>
        <v>-355639.4825874559</v>
      </c>
    </row>
    <row r="28" spans="1:2" x14ac:dyDescent="0.25">
      <c r="A28" t="s">
        <v>205</v>
      </c>
      <c r="B28" s="5">
        <f>IF(B$3=0,0,B$3+CUMPRINC(rate/12,term*12,B$3,1,84,0))</f>
        <v>3211207.2762373635</v>
      </c>
    </row>
    <row r="29" spans="1:2" x14ac:dyDescent="0.25">
      <c r="A29" t="s">
        <v>206</v>
      </c>
      <c r="B29" s="5">
        <f>B26+B27-B28</f>
        <v>14215127.370547974</v>
      </c>
    </row>
    <row r="30" spans="1:2" x14ac:dyDescent="0.25">
      <c r="A30" t="s">
        <v>207</v>
      </c>
      <c r="B30" s="5">
        <f>MAX(0,B29-eq_total)</f>
        <v>8596431.515956137</v>
      </c>
    </row>
    <row r="31" spans="1:2" x14ac:dyDescent="0.25">
      <c r="A31" t="s">
        <v>208</v>
      </c>
      <c r="B31" s="5">
        <f>9459077.669015456</f>
        <v>9459077.669015456</v>
      </c>
    </row>
    <row r="32" spans="1:2" x14ac:dyDescent="0.25">
      <c r="A32" t="s">
        <v>209</v>
      </c>
      <c r="B32" s="5">
        <f>4756049.7015325185</f>
        <v>4756049.7015325185</v>
      </c>
    </row>
    <row r="34" spans="1:9" x14ac:dyDescent="0.25">
      <c r="A34" t="s">
        <v>210</v>
      </c>
      <c r="B34" s="5">
        <f>-eq_lp</f>
        <v>-4494956.68367347</v>
      </c>
      <c r="C34" s="5">
        <f>C22</f>
        <v>425279.34192736814</v>
      </c>
      <c r="D34" s="5">
        <f>D22</f>
        <v>507542.8208737099</v>
      </c>
      <c r="E34" s="5">
        <f>E22</f>
        <v>561852.0628046363</v>
      </c>
      <c r="F34" s="5">
        <f>F22</f>
        <v>580251.1937255963</v>
      </c>
      <c r="G34" s="5">
        <f>G22</f>
        <v>599018.3072649756</v>
      </c>
      <c r="H34" s="5">
        <f>H22</f>
        <v>618160.7630751423</v>
      </c>
      <c r="I34" s="5">
        <f>I22+B31</f>
        <v>10096763.737016968</v>
      </c>
    </row>
    <row r="36" spans="1:2" x14ac:dyDescent="0.25">
      <c r="A36" s="3" t="s">
        <v>31</v>
      </c>
      <c r="B36" s="6">
        <f>IRR(B34:I34)</f>
        <v>0.20395433835256122</v>
      </c>
    </row>
    <row r="37" spans="1:2" x14ac:dyDescent="0.25">
      <c r="A37" s="3" t="s">
        <v>211</v>
      </c>
      <c r="B37" s="5">
        <f>SUM(C22:I22)+B31</f>
        <v>13388868.226688396</v>
      </c>
    </row>
    <row r="38" spans="1:2" x14ac:dyDescent="0.25">
      <c r="A38" s="3" t="s">
        <v>212</v>
      </c>
      <c r="B38" s="7">
        <f>B37/eq_lp</f>
        <v>2.9786423249236837</v>
      </c>
    </row>
    <row r="39" spans="1:2" x14ac:dyDescent="0.25">
      <c r="A39" s="3" t="s">
        <v>213</v>
      </c>
      <c r="B39" s="6">
        <f>'P&amp;L'!E31/tpc</f>
        <v>0.10460116198248523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9" width="12" customWidth="1"/>
  </cols>
  <sheetData>
    <row r="1" spans="1:1" x14ac:dyDescent="0.25">
      <c r="A1" s="2" t="s">
        <v>214</v>
      </c>
    </row>
    <row r="3" spans="1:1" x14ac:dyDescent="0.25">
      <c r="A3" s="3" t="s">
        <v>215</v>
      </c>
    </row>
    <row r="4" spans="2:9" x14ac:dyDescent="0.25">
      <c r="B4" s="3" t="s">
        <v>216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156</v>
      </c>
      <c r="H4" s="3" t="s">
        <v>157</v>
      </c>
      <c r="I4" s="3" t="s">
        <v>158</v>
      </c>
    </row>
    <row r="5" spans="1:2" x14ac:dyDescent="0.25">
      <c r="A5" t="s">
        <v>217</v>
      </c>
      <c r="B5" s="5">
        <f>-IF(Assumptions!$B$47&gt;0,tpc,cost_base)</f>
        <v>-10882575.757575758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-267330</v>
      </c>
    </row>
    <row r="8" spans="1:2" x14ac:dyDescent="0.25">
      <c r="A8" t="s">
        <v>218</v>
      </c>
      <c r="B8" s="5">
        <f>Assumptions!$B$47*tpc</f>
        <v>0</v>
      </c>
    </row>
    <row r="9" spans="1:2" x14ac:dyDescent="0.25">
      <c r="A9" t="s">
        <v>219</v>
      </c>
      <c r="B9" s="5">
        <f>(-(B5+B8+B6)-B7)*(1-gp_pct)</f>
        <v>8919924.606060607</v>
      </c>
    </row>
    <row r="10" spans="1:2" x14ac:dyDescent="0.25">
      <c r="A10" t="s">
        <v>220</v>
      </c>
      <c r="B10" s="5">
        <f>(-(B5+B8+B6)-B7)*gp_pct</f>
        <v>2229981.151515152</v>
      </c>
    </row>
    <row r="11" spans="1:2" x14ac:dyDescent="0.25">
      <c r="A11" s="3" t="s">
        <v>221</v>
      </c>
      <c r="B11" s="5">
        <f>SUM(B5:B10)</f>
        <v>0</v>
      </c>
    </row>
    <row r="13" spans="1:9" x14ac:dyDescent="0.25">
      <c r="A13" t="s">
        <v>186</v>
      </c>
      <c r="C13" s="5">
        <f>'P&amp;L'!C31</f>
        <v>979229.781463415</v>
      </c>
      <c r="D13" s="5">
        <f>'P&amp;L'!D31</f>
        <v>1082059.1301463423</v>
      </c>
      <c r="E13" s="5">
        <f>'P&amp;L'!E31</f>
        <v>1149945.6825600003</v>
      </c>
      <c r="F13" s="5">
        <f>'P&amp;L'!F31</f>
        <v>1172944.5962112003</v>
      </c>
      <c r="G13" s="5">
        <f>'P&amp;L'!G31</f>
        <v>1196403.4881354244</v>
      </c>
      <c r="H13" s="5">
        <f>'P&amp;L'!H31</f>
        <v>1220331.5578981328</v>
      </c>
      <c r="I13" s="5">
        <f>'P&amp;L'!I31</f>
        <v>1244738.1890560957</v>
      </c>
    </row>
    <row r="14" spans="1:9" x14ac:dyDescent="0.25">
      <c r="A14" t="s">
        <v>191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</row>
    <row r="15" spans="1:9" x14ac:dyDescent="0.25">
      <c r="A15" t="s">
        <v>192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</row>
    <row r="16" spans="1:9" x14ac:dyDescent="0.25">
      <c r="A16" t="s">
        <v>222</v>
      </c>
      <c r="C16" s="5">
        <f>C13+C14+C15</f>
        <v>979229.781463415</v>
      </c>
      <c r="D16" s="5">
        <f>D13+D14+D15</f>
        <v>1082059.1301463423</v>
      </c>
      <c r="E16" s="5">
        <f>E13+E14+E15</f>
        <v>1149945.6825600003</v>
      </c>
      <c r="F16" s="5">
        <f>F13+F14+F15</f>
        <v>1172944.5962112003</v>
      </c>
      <c r="G16" s="5">
        <f>G13+G14+G15</f>
        <v>1196403.4881354244</v>
      </c>
      <c r="H16" s="5">
        <f>H13+H14+H15</f>
        <v>1220331.5578981328</v>
      </c>
      <c r="I16" s="5">
        <f>I13+I14+I15</f>
        <v>1244738.1890560957</v>
      </c>
    </row>
    <row r="17" spans="1:9" x14ac:dyDescent="0.25">
      <c r="A17" t="s">
        <v>223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</row>
    <row r="18" spans="1:9" x14ac:dyDescent="0.25">
      <c r="A18" t="s">
        <v>224</v>
      </c>
      <c r="C18" s="5">
        <f>IF(1=MIN(MAX(1,ROUNDUP(vat_months/12,0)),7),-B7,0)</f>
        <v>267330</v>
      </c>
      <c r="D18" s="5">
        <f>IF(2=MIN(MAX(1,ROUNDUP(vat_months/12,0)),7),-B7,0)</f>
        <v>0</v>
      </c>
      <c r="E18" s="5">
        <f>IF(3=MIN(MAX(1,ROUNDUP(vat_months/12,0)),7),-B7,0)</f>
        <v>0</v>
      </c>
      <c r="F18" s="5">
        <f>IF(4=MIN(MAX(1,ROUNDUP(vat_months/12,0)),7),-B7,0)</f>
        <v>0</v>
      </c>
      <c r="G18" s="5">
        <f>IF(5=MIN(MAX(1,ROUNDUP(vat_months/12,0)),7),-B7,0)</f>
        <v>0</v>
      </c>
      <c r="H18" s="5">
        <f>IF(6=MIN(MAX(1,ROUNDUP(vat_months/12,0)),7),-B7,0)</f>
        <v>0</v>
      </c>
      <c r="I18" s="5">
        <f>IF(7=MIN(MAX(1,ROUNDUP(vat_months/12,0)),7),-B7,0)</f>
        <v>0</v>
      </c>
    </row>
    <row r="19" spans="1:9" x14ac:dyDescent="0.25">
      <c r="A19" t="s">
        <v>225</v>
      </c>
      <c r="C19" s="5">
        <f>C16+C17+C18</f>
        <v>1246559.781463415</v>
      </c>
      <c r="D19" s="5">
        <f>C19+D16+D17+D18</f>
        <v>2328618.911609757</v>
      </c>
      <c r="E19" s="5">
        <f>D19+E16+E17+E18</f>
        <v>3478564.5941697573</v>
      </c>
      <c r="F19" s="5">
        <f>E19+F16+F17+F18</f>
        <v>4651509.190380958</v>
      </c>
      <c r="G19" s="5">
        <f>F19+G16+G17+G18</f>
        <v>5847912.678516382</v>
      </c>
      <c r="H19" s="5">
        <f>G19+H16+H17+H18</f>
        <v>7068244.236414515</v>
      </c>
      <c r="I19" s="5">
        <f>H19+I16+I17+I18</f>
        <v>8312982.425470611</v>
      </c>
    </row>
    <row r="20" spans="1:9" x14ac:dyDescent="0.25">
      <c r="A20" t="s">
        <v>226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</row>
    <row r="22" spans="1:9" x14ac:dyDescent="0.25">
      <c r="A22" t="s">
        <v>26</v>
      </c>
      <c r="C22" s="5">
        <f>IF(1=7,'P&amp;L'!I31/cap,0)</f>
        <v>0</v>
      </c>
      <c r="D22" s="5">
        <f>IF(2=7,'P&amp;L'!I31/cap,0)</f>
        <v>0</v>
      </c>
      <c r="E22" s="5">
        <f>IF(3=7,'P&amp;L'!I31/cap,0)</f>
        <v>0</v>
      </c>
      <c r="F22" s="5">
        <f>IF(4=7,'P&amp;L'!I31/cap,0)</f>
        <v>0</v>
      </c>
      <c r="G22" s="5">
        <f>IF(5=7,'P&amp;L'!I31/cap,0)</f>
        <v>0</v>
      </c>
      <c r="H22" s="5">
        <f>IF(6=7,'P&amp;L'!I31/cap,0)</f>
        <v>0</v>
      </c>
      <c r="I22" s="5">
        <f>IF(7=7,'P&amp;L'!I31/cap,0)</f>
        <v>17781974.129372794</v>
      </c>
    </row>
    <row r="23" spans="1:9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-355639.4825874567</v>
      </c>
    </row>
    <row r="24" spans="1:9" x14ac:dyDescent="0.25">
      <c r="A24" t="s">
        <v>28</v>
      </c>
      <c r="C24" s="5">
        <f>IF(1&lt;7,0,IF(B8=0,0,-(B8+CUMPRINC(Assumptions!$B$48/12,Assumptions!$B$49*12,B8,1,84,0))))</f>
        <v>0</v>
      </c>
      <c r="D24" s="5">
        <f>IF(2&lt;7,0,IF(B8=0,0,-(B8+CUMPRINC(Assumptions!$B$48/12,Assumptions!$B$49*12,B8,1,84,0))))</f>
        <v>0</v>
      </c>
      <c r="E24" s="5">
        <f>IF(3&lt;7,0,IF(B8=0,0,-(B8+CUMPRINC(Assumptions!$B$48/12,Assumptions!$B$49*12,B8,1,84,0))))</f>
        <v>0</v>
      </c>
      <c r="F24" s="5">
        <f>IF(4&lt;7,0,IF(B8=0,0,-(B8+CUMPRINC(Assumptions!$B$48/12,Assumptions!$B$49*12,B8,1,84,0))))</f>
        <v>0</v>
      </c>
      <c r="G24" s="5">
        <f>IF(5&lt;7,0,IF(B8=0,0,-(B8+CUMPRINC(Assumptions!$B$48/12,Assumptions!$B$49*12,B8,1,84,0))))</f>
        <v>0</v>
      </c>
      <c r="H24" s="5">
        <f>IF(6&lt;7,0,IF(B8=0,0,-(B8+CUMPRINC(Assumptions!$B$48/12,Assumptions!$B$49*12,B8,1,84,0))))</f>
        <v>0</v>
      </c>
      <c r="I24" s="5">
        <f>IF(7&lt;7,0,IF(B8=0,0,-(B8+CUMPRINC(Assumptions!$B$48/12,Assumptions!$B$49*12,B8,1,84,0))))</f>
        <v>0</v>
      </c>
    </row>
    <row r="25" spans="1:9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17426334.646785337</v>
      </c>
    </row>
    <row r="27" spans="1:9" x14ac:dyDescent="0.25">
      <c r="A27" t="s">
        <v>201</v>
      </c>
      <c r="C27" s="5">
        <f>783383.825170732</f>
        <v>783383.825170732</v>
      </c>
      <c r="D27" s="5">
        <f>865647.3041170738</f>
        <v>865647.3041170738</v>
      </c>
      <c r="E27" s="5">
        <f>919956.5460480002</f>
        <v>919956.5460480002</v>
      </c>
      <c r="F27" s="5">
        <f>938355.6769689602</f>
        <v>938355.6769689602</v>
      </c>
      <c r="G27" s="5">
        <f>957122.7905083395</f>
        <v>957122.7905083395</v>
      </c>
      <c r="H27" s="5">
        <f>976265.2463185062</f>
        <v>976265.2463185062</v>
      </c>
      <c r="I27" s="5">
        <f>995790.5512448765</f>
        <v>995790.5512448765</v>
      </c>
    </row>
    <row r="28" spans="1:9" x14ac:dyDescent="0.25">
      <c r="A28" t="s">
        <v>202</v>
      </c>
      <c r="C28" s="5">
        <f>195845.95629268303</f>
        <v>195845.95629268303</v>
      </c>
      <c r="D28" s="5">
        <f>216411.82602926856</f>
        <v>216411.82602926856</v>
      </c>
      <c r="E28" s="5">
        <f>229989.1365120001</f>
        <v>229989.1365120001</v>
      </c>
      <c r="F28" s="5">
        <f>234588.91924224014</f>
        <v>234588.91924224014</v>
      </c>
      <c r="G28" s="5">
        <f>239280.6976270849</f>
        <v>239280.6976270849</v>
      </c>
      <c r="H28" s="5">
        <f>244066.31157962664</f>
        <v>244066.31157962664</v>
      </c>
      <c r="I28" s="5">
        <f>248947.6378112192</f>
        <v>248947.6378112192</v>
      </c>
    </row>
    <row r="29" spans="1:9" x14ac:dyDescent="0.25">
      <c r="A29" t="s">
        <v>227</v>
      </c>
      <c r="C29" s="5">
        <f>IF(1=7,12630492.888355615,0)</f>
        <v>0</v>
      </c>
      <c r="D29" s="5">
        <f>IF(2=7,12630492.888355615,0)</f>
        <v>0</v>
      </c>
      <c r="E29" s="5">
        <f>IF(3=7,12630492.888355615,0)</f>
        <v>0</v>
      </c>
      <c r="F29" s="5">
        <f>IF(4=7,12630492.888355615,0)</f>
        <v>0</v>
      </c>
      <c r="G29" s="5">
        <f>IF(5=7,12630492.888355615,0)</f>
        <v>0</v>
      </c>
      <c r="H29" s="5">
        <f>IF(6=7,12630492.888355615,0)</f>
        <v>0</v>
      </c>
      <c r="I29" s="5">
        <f>IF(7=7,12630492.888355615,0)</f>
        <v>12630492.888355615</v>
      </c>
    </row>
    <row r="30" spans="1:9" x14ac:dyDescent="0.25">
      <c r="A30" t="s">
        <v>228</v>
      </c>
      <c r="C30" s="5">
        <f>IF(1=7,4795841.758429723,0)</f>
        <v>0</v>
      </c>
      <c r="D30" s="5">
        <f>IF(2=7,4795841.758429723,0)</f>
        <v>0</v>
      </c>
      <c r="E30" s="5">
        <f>IF(3=7,4795841.758429723,0)</f>
        <v>0</v>
      </c>
      <c r="F30" s="5">
        <f>IF(4=7,4795841.758429723,0)</f>
        <v>0</v>
      </c>
      <c r="G30" s="5">
        <f>IF(5=7,4795841.758429723,0)</f>
        <v>0</v>
      </c>
      <c r="H30" s="5">
        <f>IF(6=7,4795841.758429723,0)</f>
        <v>0</v>
      </c>
      <c r="I30" s="5">
        <f>IF(7=7,4795841.758429723,0)</f>
        <v>4795841.758429723</v>
      </c>
    </row>
    <row r="31" spans="1:9" x14ac:dyDescent="0.25">
      <c r="A31" t="s">
        <v>229</v>
      </c>
      <c r="C31" s="5">
        <f>(C17+C18)*(1-gp_pct)</f>
        <v>213864.00000000003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</row>
    <row r="32" spans="1:9" x14ac:dyDescent="0.25">
      <c r="A32" t="s">
        <v>230</v>
      </c>
      <c r="C32" s="5">
        <f>(C17+C18)*gp_pct</f>
        <v>53465.999999999956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</row>
    <row r="33" spans="1:9" x14ac:dyDescent="0.25">
      <c r="A33" s="3" t="s">
        <v>231</v>
      </c>
      <c r="C33" s="5">
        <f>SUM(C27:C32)</f>
        <v>1246559.781463415</v>
      </c>
      <c r="D33" s="5">
        <f>SUM(D27:D32)</f>
        <v>1082059.1301463423</v>
      </c>
      <c r="E33" s="5">
        <f>SUM(E27:E32)</f>
        <v>1149945.6825600003</v>
      </c>
      <c r="F33" s="5">
        <f>SUM(F27:F32)</f>
        <v>1172944.5962112003</v>
      </c>
      <c r="G33" s="5">
        <f>SUM(G27:G32)</f>
        <v>1196403.4881354244</v>
      </c>
      <c r="H33" s="5">
        <f>SUM(H27:H32)</f>
        <v>1220331.5578981328</v>
      </c>
      <c r="I33" s="5">
        <f>SUM(I27:I32)</f>
        <v>18671072.835841432</v>
      </c>
    </row>
    <row r="35" spans="1:9" x14ac:dyDescent="0.25">
      <c r="A35" t="s">
        <v>232</v>
      </c>
      <c r="C35" s="5">
        <f>C16+C17+C18+C25</f>
        <v>1246559.781463415</v>
      </c>
      <c r="D35" s="5">
        <f>D16+D17+D18+D25</f>
        <v>1082059.1301463423</v>
      </c>
      <c r="E35" s="5">
        <f>E16+E17+E18+E25</f>
        <v>1149945.6825600003</v>
      </c>
      <c r="F35" s="5">
        <f>F16+F17+F18+F25</f>
        <v>1172944.5962112003</v>
      </c>
      <c r="G35" s="5">
        <f>G16+G17+G18+G25</f>
        <v>1196403.4881354244</v>
      </c>
      <c r="H35" s="5">
        <f>H16+H17+H18+H25</f>
        <v>1220331.5578981328</v>
      </c>
      <c r="I35" s="5">
        <f>I16+I17+I18+I25</f>
        <v>18671072.835841432</v>
      </c>
    </row>
    <row r="36" spans="1:9" x14ac:dyDescent="0.25">
      <c r="A36" t="s">
        <v>233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</row>
    <row r="38" spans="1:9" x14ac:dyDescent="0.25">
      <c r="A38" t="s">
        <v>234</v>
      </c>
      <c r="B38" s="5">
        <f>-B9</f>
        <v>-8919924.606060607</v>
      </c>
      <c r="C38" s="5">
        <f>C27+C29+C31</f>
        <v>997247.825170732</v>
      </c>
      <c r="D38" s="5">
        <f>D27+D29+D31</f>
        <v>865647.3041170738</v>
      </c>
      <c r="E38" s="5">
        <f>E27+E29+E31</f>
        <v>919956.5460480002</v>
      </c>
      <c r="F38" s="5">
        <f>F27+F29+F31</f>
        <v>938355.6769689602</v>
      </c>
      <c r="G38" s="5">
        <f>G27+G29+G31</f>
        <v>957122.7905083395</v>
      </c>
      <c r="H38" s="5">
        <f>H27+H29+H31</f>
        <v>976265.2463185062</v>
      </c>
      <c r="I38" s="5">
        <f>I27+I29+I31</f>
        <v>13626283.439600492</v>
      </c>
    </row>
    <row r="39" spans="1:9" x14ac:dyDescent="0.25">
      <c r="A39" t="s">
        <v>235</v>
      </c>
      <c r="B39" s="5">
        <f>B38</f>
        <v>-8919924.606060607</v>
      </c>
      <c r="C39" s="5">
        <f>B39+C38</f>
        <v>-7922676.780889875</v>
      </c>
      <c r="D39" s="5">
        <f>C39+D38</f>
        <v>-7057029.476772802</v>
      </c>
      <c r="E39" s="5">
        <f>D39+E38</f>
        <v>-6137072.9307248015</v>
      </c>
      <c r="F39" s="5">
        <f>E39+F38</f>
        <v>-5198717.253755841</v>
      </c>
      <c r="G39" s="5">
        <f>F39+G38</f>
        <v>-4241594.463247502</v>
      </c>
      <c r="H39" s="5">
        <f>G39+H38</f>
        <v>-3265329.216928996</v>
      </c>
      <c r="I39" s="5">
        <f>H39+I38</f>
        <v>10360954.222671496</v>
      </c>
    </row>
    <row r="42" spans="1:1" x14ac:dyDescent="0.25">
      <c r="A42" s="3" t="s">
        <v>236</v>
      </c>
    </row>
    <row r="43" spans="2:9" x14ac:dyDescent="0.25">
      <c r="B43" s="3" t="s">
        <v>216</v>
      </c>
      <c r="C43" s="3" t="s">
        <v>152</v>
      </c>
      <c r="D43" s="3" t="s">
        <v>153</v>
      </c>
      <c r="E43" s="3" t="s">
        <v>154</v>
      </c>
      <c r="F43" s="3" t="s">
        <v>155</v>
      </c>
      <c r="G43" s="3" t="s">
        <v>156</v>
      </c>
      <c r="H43" s="3" t="s">
        <v>157</v>
      </c>
      <c r="I43" s="3" t="s">
        <v>158</v>
      </c>
    </row>
    <row r="44" spans="1:2" x14ac:dyDescent="0.25">
      <c r="A44" t="s">
        <v>217</v>
      </c>
      <c r="B44" s="5">
        <f>-IF(Assumptions!$C$47&gt;0,tpc,cost_base)</f>
        <v>-10993622.448979592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-121884.6301020408</v>
      </c>
    </row>
    <row r="46" spans="1:2" x14ac:dyDescent="0.25">
      <c r="A46" t="s">
        <v>17</v>
      </c>
      <c r="B46" s="5">
        <f>-vat_float</f>
        <v>-267330</v>
      </c>
    </row>
    <row r="47" spans="1:2" x14ac:dyDescent="0.25">
      <c r="A47" t="s">
        <v>218</v>
      </c>
      <c r="B47" s="5">
        <f>Assumptions!$C$47*tpc</f>
        <v>5496811.224489796</v>
      </c>
    </row>
    <row r="48" spans="1:2" x14ac:dyDescent="0.25">
      <c r="A48" t="s">
        <v>219</v>
      </c>
      <c r="B48" s="5">
        <f>(-(B44+B47+B45)-B46)*(1-gp_pct)</f>
        <v>4708820.68367347</v>
      </c>
    </row>
    <row r="49" spans="1:2" x14ac:dyDescent="0.25">
      <c r="A49" t="s">
        <v>220</v>
      </c>
      <c r="B49" s="5">
        <f>(-(B44+B47+B45)-B46)*gp_pct</f>
        <v>1177205.1709183676</v>
      </c>
    </row>
    <row r="50" spans="1:2" x14ac:dyDescent="0.25">
      <c r="A50" s="3" t="s">
        <v>221</v>
      </c>
      <c r="B50" s="5">
        <f>SUM(B44:B49)</f>
        <v>0</v>
      </c>
    </row>
    <row r="52" spans="1:9" x14ac:dyDescent="0.25">
      <c r="A52" t="s">
        <v>186</v>
      </c>
      <c r="C52" s="5">
        <f>'P&amp;L'!C31</f>
        <v>979229.781463415</v>
      </c>
      <c r="D52" s="5">
        <f>'P&amp;L'!D31</f>
        <v>1082059.1301463423</v>
      </c>
      <c r="E52" s="5">
        <f>'P&amp;L'!E31</f>
        <v>1149945.6825600003</v>
      </c>
      <c r="F52" s="5">
        <f>'P&amp;L'!F31</f>
        <v>1172944.5962112003</v>
      </c>
      <c r="G52" s="5">
        <f>'P&amp;L'!G31</f>
        <v>1196403.4881354244</v>
      </c>
      <c r="H52" s="5">
        <f>'P&amp;L'!H31</f>
        <v>1220331.5578981328</v>
      </c>
      <c r="I52" s="5">
        <f>'P&amp;L'!I31</f>
        <v>1244738.1890560957</v>
      </c>
    </row>
    <row r="53" spans="1:9" x14ac:dyDescent="0.25">
      <c r="A53" t="s">
        <v>191</v>
      </c>
      <c r="C53" s="5">
        <f>IF(B47=0,0,CUMIPMT(Assumptions!$C$48/12,Assumptions!$C$49*12,B47,1,12,0))</f>
        <v>-147396.880633733</v>
      </c>
      <c r="D53" s="5">
        <f>IF(B47=0,0,CUMIPMT(Assumptions!$C$48/12,Assumptions!$C$49*12,B47,13,24,0))</f>
        <v>-139035.58879479664</v>
      </c>
      <c r="E53" s="5">
        <f>IF(B47=0,0,CUMIPMT(Assumptions!$C$48/12,Assumptions!$C$49*12,B47,25,36,0))</f>
        <v>-130441.44103141788</v>
      </c>
      <c r="F53" s="5">
        <f>IF(B47=0,0,CUMIPMT(Assumptions!$C$48/12,Assumptions!$C$49*12,B47,37,48,0))</f>
        <v>-121607.95247468022</v>
      </c>
      <c r="G53" s="5">
        <f>IF(B47=0,0,CUMIPMT(Assumptions!$C$48/12,Assumptions!$C$49*12,B47,49,60,0))</f>
        <v>-112528.45765676271</v>
      </c>
      <c r="H53" s="5">
        <f>IF(B47=0,0,CUMIPMT(Assumptions!$C$48/12,Assumptions!$C$49*12,B47,61,72,0))</f>
        <v>-103196.105481391</v>
      </c>
      <c r="I53" s="5">
        <f>IF(B47=0,0,CUMIPMT(Assumptions!$C$48/12,Assumptions!$C$49*12,B47,73,84,0))</f>
        <v>-93603.85405421961</v>
      </c>
    </row>
    <row r="54" spans="1:9" x14ac:dyDescent="0.25">
      <c r="A54" t="s">
        <v>192</v>
      </c>
      <c r="C54" s="5">
        <f>IF(B47=0,0,CUMPRINC(Assumptions!$C$48/12,Assumptions!$C$49*12,B47,1,12,0))</f>
        <v>-300233.7234204718</v>
      </c>
      <c r="D54" s="5">
        <f>IF(B47=0,0,CUMPRINC(Assumptions!$C$48/12,Assumptions!$C$49*12,B47,13,24,0))</f>
        <v>-308595.0152594082</v>
      </c>
      <c r="E54" s="5">
        <f>IF(B47=0,0,CUMPRINC(Assumptions!$C$48/12,Assumptions!$C$49*12,B47,25,36,0))</f>
        <v>-317189.16302278696</v>
      </c>
      <c r="F54" s="5">
        <f>IF(B47=0,0,CUMPRINC(Assumptions!$C$48/12,Assumptions!$C$49*12,B47,37,48,0))</f>
        <v>-326022.6515795247</v>
      </c>
      <c r="G54" s="5">
        <f>IF(B47=0,0,CUMPRINC(Assumptions!$C$48/12,Assumptions!$C$49*12,B47,49,60,0))</f>
        <v>-335102.14639744215</v>
      </c>
      <c r="H54" s="5">
        <f>IF(B47=0,0,CUMPRINC(Assumptions!$C$48/12,Assumptions!$C$49*12,B47,61,72,0))</f>
        <v>-344434.4985728138</v>
      </c>
      <c r="I54" s="5">
        <f>IF(B47=0,0,CUMPRINC(Assumptions!$C$48/12,Assumptions!$C$49*12,B47,73,84,0))</f>
        <v>-354026.7499999852</v>
      </c>
    </row>
    <row r="55" spans="1:9" x14ac:dyDescent="0.25">
      <c r="A55" t="s">
        <v>222</v>
      </c>
      <c r="C55" s="5">
        <f>C52+C53+C54</f>
        <v>531599.1774092102</v>
      </c>
      <c r="D55" s="5">
        <f>D52+D53+D54</f>
        <v>634428.5260921374</v>
      </c>
      <c r="E55" s="5">
        <f>E52+E53+E54</f>
        <v>702315.0785057954</v>
      </c>
      <c r="F55" s="5">
        <f>F52+F53+F54</f>
        <v>725313.9921569955</v>
      </c>
      <c r="G55" s="5">
        <f>G52+G53+G54</f>
        <v>748772.8840812196</v>
      </c>
      <c r="H55" s="5">
        <f>H52+H53+H54</f>
        <v>772700.953843928</v>
      </c>
      <c r="I55" s="5">
        <f>I52+I53+I54</f>
        <v>797107.5850018909</v>
      </c>
    </row>
    <row r="56" spans="1:9" x14ac:dyDescent="0.25">
      <c r="A56" t="s">
        <v>223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</row>
    <row r="57" spans="1:9" x14ac:dyDescent="0.25">
      <c r="A57" t="s">
        <v>224</v>
      </c>
      <c r="C57" s="5">
        <f>IF(1=MIN(MAX(1,ROUNDUP(vat_months/12,0)),7),-B46,0)</f>
        <v>267330</v>
      </c>
      <c r="D57" s="5">
        <f>IF(2=MIN(MAX(1,ROUNDUP(vat_months/12,0)),7),-B46,0)</f>
        <v>0</v>
      </c>
      <c r="E57" s="5">
        <f>IF(3=MIN(MAX(1,ROUNDUP(vat_months/12,0)),7),-B46,0)</f>
        <v>0</v>
      </c>
      <c r="F57" s="5">
        <f>IF(4=MIN(MAX(1,ROUNDUP(vat_months/12,0)),7),-B46,0)</f>
        <v>0</v>
      </c>
      <c r="G57" s="5">
        <f>IF(5=MIN(MAX(1,ROUNDUP(vat_months/12,0)),7),-B46,0)</f>
        <v>0</v>
      </c>
      <c r="H57" s="5">
        <f>IF(6=MIN(MAX(1,ROUNDUP(vat_months/12,0)),7),-B46,0)</f>
        <v>0</v>
      </c>
      <c r="I57" s="5">
        <f>IF(7=MIN(MAX(1,ROUNDUP(vat_months/12,0)),7),-B46,0)</f>
        <v>0</v>
      </c>
    </row>
    <row r="58" spans="1:9" x14ac:dyDescent="0.25">
      <c r="A58" t="s">
        <v>225</v>
      </c>
      <c r="C58" s="5">
        <f>C55+C56+C57</f>
        <v>798929.1774092102</v>
      </c>
      <c r="D58" s="5">
        <f>C58+D55+D56+D57</f>
        <v>1433357.7035013477</v>
      </c>
      <c r="E58" s="5">
        <f>D58+E55+E56+E57</f>
        <v>2135672.782007143</v>
      </c>
      <c r="F58" s="5">
        <f>E58+F55+F56+F57</f>
        <v>2860986.7741641384</v>
      </c>
      <c r="G58" s="5">
        <f>F58+G55+G56+G57</f>
        <v>3609759.6582453577</v>
      </c>
      <c r="H58" s="5">
        <f>G58+H55+H56+H57</f>
        <v>4382460.612089286</v>
      </c>
      <c r="I58" s="5">
        <f>H58+I55+I56+I57</f>
        <v>5179568.197091176</v>
      </c>
    </row>
    <row r="59" spans="1:9" x14ac:dyDescent="0.25">
      <c r="A59" t="s">
        <v>226</v>
      </c>
      <c r="C59" s="7">
        <f>IF((C53+C54)=0,0,-C52/(C53+C54))</f>
        <v>2.187584523029702</v>
      </c>
      <c r="D59" s="7">
        <f>IF((D53+D54)=0,0,-D52/(D53+D54))</f>
        <v>2.4173037329130262</v>
      </c>
      <c r="E59" s="7">
        <f>IF((E53+E54)=0,0,-E52/(E53+E54))</f>
        <v>2.5689612643659867</v>
      </c>
      <c r="F59" s="7">
        <f>IF((F53+F54)=0,0,-F52/(F53+F54))</f>
        <v>2.620340489653306</v>
      </c>
      <c r="G59" s="7">
        <f>IF((G53+G54)=0,0,-G52/(G53+G54))</f>
        <v>2.6727472994463723</v>
      </c>
      <c r="H59" s="7">
        <f>IF((H53+H54)=0,0,-H52/(H53+H54))</f>
        <v>2.7262022454353</v>
      </c>
      <c r="I59" s="7">
        <f>IF((I53+I54)=0,0,-I52/(I53+I54))</f>
        <v>2.780726290344006</v>
      </c>
    </row>
    <row r="61" spans="1:9" x14ac:dyDescent="0.25">
      <c r="A61" t="s">
        <v>26</v>
      </c>
      <c r="C61" s="5">
        <f>IF(1=7,'P&amp;L'!I31/cap,0)</f>
        <v>0</v>
      </c>
      <c r="D61" s="5">
        <f>IF(2=7,'P&amp;L'!I31/cap,0)</f>
        <v>0</v>
      </c>
      <c r="E61" s="5">
        <f>IF(3=7,'P&amp;L'!I31/cap,0)</f>
        <v>0</v>
      </c>
      <c r="F61" s="5">
        <f>IF(4=7,'P&amp;L'!I31/cap,0)</f>
        <v>0</v>
      </c>
      <c r="G61" s="5">
        <f>IF(5=7,'P&amp;L'!I31/cap,0)</f>
        <v>0</v>
      </c>
      <c r="H61" s="5">
        <f>IF(6=7,'P&amp;L'!I31/cap,0)</f>
        <v>0</v>
      </c>
      <c r="I61" s="5">
        <f>IF(7=7,'P&amp;L'!I31/cap,0)</f>
        <v>17781974.129372794</v>
      </c>
    </row>
    <row r="62" spans="1:9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-355639.4825874567</v>
      </c>
    </row>
    <row r="63" spans="1:9" x14ac:dyDescent="0.25">
      <c r="A63" t="s">
        <v>28</v>
      </c>
      <c r="C63" s="5">
        <f>IF(1&lt;7,0,IF(B47=0,0,-(B47+CUMPRINC(Assumptions!$C$48/12,Assumptions!$C$49*12,B47,1,84,0))))</f>
        <v>0</v>
      </c>
      <c r="D63" s="5">
        <f>IF(2&lt;7,0,IF(B47=0,0,-(B47+CUMPRINC(Assumptions!$C$48/12,Assumptions!$C$49*12,B47,1,84,0))))</f>
        <v>0</v>
      </c>
      <c r="E63" s="5">
        <f>IF(3&lt;7,0,IF(B47=0,0,-(B47+CUMPRINC(Assumptions!$C$48/12,Assumptions!$C$49*12,B47,1,84,0))))</f>
        <v>0</v>
      </c>
      <c r="F63" s="5">
        <f>IF(4&lt;7,0,IF(B47=0,0,-(B47+CUMPRINC(Assumptions!$C$48/12,Assumptions!$C$49*12,B47,1,84,0))))</f>
        <v>0</v>
      </c>
      <c r="G63" s="5">
        <f>IF(5&lt;7,0,IF(B47=0,0,-(B47+CUMPRINC(Assumptions!$C$48/12,Assumptions!$C$49*12,B47,1,84,0))))</f>
        <v>0</v>
      </c>
      <c r="H63" s="5">
        <f>IF(6&lt;7,0,IF(B47=0,0,-(B47+CUMPRINC(Assumptions!$C$48/12,Assumptions!$C$49*12,B47,1,84,0))))</f>
        <v>0</v>
      </c>
      <c r="I63" s="5">
        <f>IF(7&lt;7,0,IF(B47=0,0,-(B47+CUMPRINC(Assumptions!$C$48/12,Assumptions!$C$49*12,B47,1,84,0))))</f>
        <v>-3211207.2762373635</v>
      </c>
    </row>
    <row r="64" spans="1:9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14215127.370547974</v>
      </c>
    </row>
    <row r="66" spans="1:9" x14ac:dyDescent="0.25">
      <c r="A66" t="s">
        <v>201</v>
      </c>
      <c r="C66" s="5">
        <f>425279.34192736814</f>
        <v>425279.34192736814</v>
      </c>
      <c r="D66" s="5">
        <f>507542.8208737099</f>
        <v>507542.8208737099</v>
      </c>
      <c r="E66" s="5">
        <f>561852.0628046363</f>
        <v>561852.0628046363</v>
      </c>
      <c r="F66" s="5">
        <f>580251.1937255963</f>
        <v>580251.1937255963</v>
      </c>
      <c r="G66" s="5">
        <f>599018.3072649756</f>
        <v>599018.3072649756</v>
      </c>
      <c r="H66" s="5">
        <f>618160.7630751423</f>
        <v>618160.7630751423</v>
      </c>
      <c r="I66" s="5">
        <f>637686.0680015127</f>
        <v>637686.0680015127</v>
      </c>
    </row>
    <row r="67" spans="1:9" x14ac:dyDescent="0.25">
      <c r="A67" t="s">
        <v>202</v>
      </c>
      <c r="C67" s="5">
        <f>106319.8354818421</f>
        <v>106319.8354818421</v>
      </c>
      <c r="D67" s="5">
        <f>126885.70521842752</f>
        <v>126885.70521842752</v>
      </c>
      <c r="E67" s="5">
        <f>140463.01570115914</f>
        <v>140463.01570115914</v>
      </c>
      <c r="F67" s="5">
        <f>145062.79843139916</f>
        <v>145062.79843139916</v>
      </c>
      <c r="G67" s="5">
        <f>149754.57681624393</f>
        <v>149754.57681624393</v>
      </c>
      <c r="H67" s="5">
        <f>154540.19076878566</f>
        <v>154540.19076878566</v>
      </c>
      <c r="I67" s="5">
        <f>159421.51700037823</f>
        <v>159421.51700037823</v>
      </c>
    </row>
    <row r="68" spans="1:9" x14ac:dyDescent="0.25">
      <c r="A68" t="s">
        <v>227</v>
      </c>
      <c r="C68" s="5">
        <f>IF(1=7,9459077.669015456,0)</f>
        <v>0</v>
      </c>
      <c r="D68" s="5">
        <f>IF(2=7,9459077.669015456,0)</f>
        <v>0</v>
      </c>
      <c r="E68" s="5">
        <f>IF(3=7,9459077.669015456,0)</f>
        <v>0</v>
      </c>
      <c r="F68" s="5">
        <f>IF(4=7,9459077.669015456,0)</f>
        <v>0</v>
      </c>
      <c r="G68" s="5">
        <f>IF(5=7,9459077.669015456,0)</f>
        <v>0</v>
      </c>
      <c r="H68" s="5">
        <f>IF(6=7,9459077.669015456,0)</f>
        <v>0</v>
      </c>
      <c r="I68" s="5">
        <f>IF(7=7,9459077.669015456,0)</f>
        <v>9459077.669015456</v>
      </c>
    </row>
    <row r="69" spans="1:9" x14ac:dyDescent="0.25">
      <c r="A69" t="s">
        <v>228</v>
      </c>
      <c r="C69" s="5">
        <f>IF(1=7,4756049.7015325185,0)</f>
        <v>0</v>
      </c>
      <c r="D69" s="5">
        <f>IF(2=7,4756049.7015325185,0)</f>
        <v>0</v>
      </c>
      <c r="E69" s="5">
        <f>IF(3=7,4756049.7015325185,0)</f>
        <v>0</v>
      </c>
      <c r="F69" s="5">
        <f>IF(4=7,4756049.7015325185,0)</f>
        <v>0</v>
      </c>
      <c r="G69" s="5">
        <f>IF(5=7,4756049.7015325185,0)</f>
        <v>0</v>
      </c>
      <c r="H69" s="5">
        <f>IF(6=7,4756049.7015325185,0)</f>
        <v>0</v>
      </c>
      <c r="I69" s="5">
        <f>IF(7=7,4756049.7015325185,0)</f>
        <v>4756049.7015325185</v>
      </c>
    </row>
    <row r="70" spans="1:9" x14ac:dyDescent="0.25">
      <c r="A70" t="s">
        <v>229</v>
      </c>
      <c r="C70" s="5">
        <f>(C56+C57)*(1-gp_pct)</f>
        <v>213864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</row>
    <row r="71" spans="1:9" x14ac:dyDescent="0.25">
      <c r="A71" t="s">
        <v>230</v>
      </c>
      <c r="C71" s="5">
        <f>(C56+C57)*gp_pct</f>
        <v>53465.999999999985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</row>
    <row r="72" spans="1:9" x14ac:dyDescent="0.25">
      <c r="A72" s="3" t="s">
        <v>231</v>
      </c>
      <c r="C72" s="5">
        <f>SUM(C66:C71)</f>
        <v>798929.1774092102</v>
      </c>
      <c r="D72" s="5">
        <f>SUM(D66:D71)</f>
        <v>634428.5260921374</v>
      </c>
      <c r="E72" s="5">
        <f>SUM(E66:E71)</f>
        <v>702315.0785057954</v>
      </c>
      <c r="F72" s="5">
        <f>SUM(F66:F71)</f>
        <v>725313.9921569955</v>
      </c>
      <c r="G72" s="5">
        <f>SUM(G66:G71)</f>
        <v>748772.8840812196</v>
      </c>
      <c r="H72" s="5">
        <f>SUM(H66:H71)</f>
        <v>772700.953843928</v>
      </c>
      <c r="I72" s="5">
        <f>SUM(I66:I71)</f>
        <v>15012234.955549866</v>
      </c>
    </row>
    <row r="74" spans="1:9" x14ac:dyDescent="0.25">
      <c r="A74" t="s">
        <v>232</v>
      </c>
      <c r="C74" s="5">
        <f>C55+C56+C57+C64</f>
        <v>798929.1774092102</v>
      </c>
      <c r="D74" s="5">
        <f>D55+D56+D57+D64</f>
        <v>634428.5260921374</v>
      </c>
      <c r="E74" s="5">
        <f>E55+E56+E57+E64</f>
        <v>702315.0785057954</v>
      </c>
      <c r="F74" s="5">
        <f>F55+F56+F57+F64</f>
        <v>725313.9921569955</v>
      </c>
      <c r="G74" s="5">
        <f>G55+G56+G57+G64</f>
        <v>748772.8840812196</v>
      </c>
      <c r="H74" s="5">
        <f>H55+H56+H57+H64</f>
        <v>772700.953843928</v>
      </c>
      <c r="I74" s="5">
        <f>I55+I56+I57+I64</f>
        <v>15012234.955549866</v>
      </c>
    </row>
    <row r="75" spans="1:9" x14ac:dyDescent="0.25">
      <c r="A75" t="s">
        <v>233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</row>
    <row r="77" spans="1:9" x14ac:dyDescent="0.25">
      <c r="A77" t="s">
        <v>234</v>
      </c>
      <c r="B77" s="5">
        <f>-B48</f>
        <v>-4708820.68367347</v>
      </c>
      <c r="C77" s="5">
        <f>C66+C68+C70</f>
        <v>639143.3419273682</v>
      </c>
      <c r="D77" s="5">
        <f>D66+D68+D70</f>
        <v>507542.8208737099</v>
      </c>
      <c r="E77" s="5">
        <f>E66+E68+E70</f>
        <v>561852.0628046363</v>
      </c>
      <c r="F77" s="5">
        <f>F66+F68+F70</f>
        <v>580251.1937255963</v>
      </c>
      <c r="G77" s="5">
        <f>G66+G68+G70</f>
        <v>599018.3072649756</v>
      </c>
      <c r="H77" s="5">
        <f>H66+H68+H70</f>
        <v>618160.7630751423</v>
      </c>
      <c r="I77" s="5">
        <f>I66+I68+I70</f>
        <v>10096763.737016968</v>
      </c>
    </row>
    <row r="78" spans="1:9" x14ac:dyDescent="0.25">
      <c r="A78" t="s">
        <v>235</v>
      </c>
      <c r="B78" s="5">
        <f>B77</f>
        <v>-4708820.68367347</v>
      </c>
      <c r="C78" s="5">
        <f>B78+C77</f>
        <v>-4069677.341746102</v>
      </c>
      <c r="D78" s="5">
        <f>C78+D77</f>
        <v>-3562134.520872392</v>
      </c>
      <c r="E78" s="5">
        <f>D78+E77</f>
        <v>-3000282.458067756</v>
      </c>
      <c r="F78" s="5">
        <f>E78+F77</f>
        <v>-2420031.26434216</v>
      </c>
      <c r="G78" s="5">
        <f>F78+G77</f>
        <v>-1821012.9570771842</v>
      </c>
      <c r="H78" s="5">
        <f>G78+H77</f>
        <v>-1202852.194002042</v>
      </c>
      <c r="I78" s="5">
        <f>H78+I77</f>
        <v>8893911.543014927</v>
      </c>
    </row>
    <row r="81" spans="1:1" x14ac:dyDescent="0.25">
      <c r="A81" s="3" t="s">
        <v>237</v>
      </c>
    </row>
    <row r="82" spans="2:9" x14ac:dyDescent="0.25">
      <c r="B82" s="3" t="s">
        <v>216</v>
      </c>
      <c r="C82" s="3" t="s">
        <v>152</v>
      </c>
      <c r="D82" s="3" t="s">
        <v>153</v>
      </c>
      <c r="E82" s="3" t="s">
        <v>154</v>
      </c>
      <c r="F82" s="3" t="s">
        <v>155</v>
      </c>
      <c r="G82" s="3" t="s">
        <v>156</v>
      </c>
      <c r="H82" s="3" t="s">
        <v>157</v>
      </c>
      <c r="I82" s="3" t="s">
        <v>158</v>
      </c>
    </row>
    <row r="83" spans="1:2" x14ac:dyDescent="0.25">
      <c r="A83" t="s">
        <v>217</v>
      </c>
      <c r="B83" s="5">
        <f>-IF(Assumptions!$D$47&gt;0,tpc,cost_base)</f>
        <v>-10993622.448979594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-144421.55612244896</v>
      </c>
    </row>
    <row r="85" spans="1:2" x14ac:dyDescent="0.25">
      <c r="A85" t="s">
        <v>17</v>
      </c>
      <c r="B85" s="5">
        <f>-vat_float</f>
        <v>-267330</v>
      </c>
    </row>
    <row r="86" spans="1:2" x14ac:dyDescent="0.25">
      <c r="A86" t="s">
        <v>218</v>
      </c>
      <c r="B86" s="5">
        <f>Assumptions!$D$47*tpc</f>
        <v>6596173.469387755</v>
      </c>
    </row>
    <row r="87" spans="1:2" x14ac:dyDescent="0.25">
      <c r="A87" t="s">
        <v>219</v>
      </c>
      <c r="B87" s="5">
        <f>(-(B83+B86+B84)-B85)*(1-gp_pct)</f>
        <v>3847360.428571429</v>
      </c>
    </row>
    <row r="88" spans="1:2" x14ac:dyDescent="0.25">
      <c r="A88" t="s">
        <v>220</v>
      </c>
      <c r="B88" s="5">
        <f>(-(B83+B86+B84)-B85)*gp_pct</f>
        <v>961840.1071428573</v>
      </c>
    </row>
    <row r="89" spans="1:2" x14ac:dyDescent="0.25">
      <c r="A89" s="3" t="s">
        <v>221</v>
      </c>
      <c r="B89" s="5">
        <f>SUM(B83:B88)</f>
        <v>0</v>
      </c>
    </row>
    <row r="91" spans="1:9" x14ac:dyDescent="0.25">
      <c r="A91" t="s">
        <v>186</v>
      </c>
      <c r="C91" s="5">
        <f>'P&amp;L'!C31</f>
        <v>979229.781463415</v>
      </c>
      <c r="D91" s="5">
        <f>'P&amp;L'!D31</f>
        <v>1082059.1301463423</v>
      </c>
      <c r="E91" s="5">
        <f>'P&amp;L'!E31</f>
        <v>1149945.6825600003</v>
      </c>
      <c r="F91" s="5">
        <f>'P&amp;L'!F31</f>
        <v>1172944.5962112003</v>
      </c>
      <c r="G91" s="5">
        <f>'P&amp;L'!G31</f>
        <v>1196403.4881354244</v>
      </c>
      <c r="H91" s="5">
        <f>'P&amp;L'!H31</f>
        <v>1220331.5578981328</v>
      </c>
      <c r="I91" s="5">
        <f>'P&amp;L'!I31</f>
        <v>1244738.1890560957</v>
      </c>
    </row>
    <row r="92" spans="1:9" x14ac:dyDescent="0.25">
      <c r="A92" t="s">
        <v>191</v>
      </c>
      <c r="C92" s="5">
        <f>IF(B86=0,0,CUMIPMT(Assumptions!$D$48/12,Assumptions!$D$49*12,B86,1,12,0))</f>
        <v>-176876.2567604796</v>
      </c>
      <c r="D92" s="5">
        <f>IF(B86=0,0,CUMIPMT(Assumptions!$D$48/12,Assumptions!$D$49*12,B86,13,24,0))</f>
        <v>-166842.70655375603</v>
      </c>
      <c r="E92" s="5">
        <f>IF(B86=0,0,CUMIPMT(Assumptions!$D$48/12,Assumptions!$D$49*12,B86,25,36,0))</f>
        <v>-156529.7292377015</v>
      </c>
      <c r="F92" s="5">
        <f>IF(B86=0,0,CUMIPMT(Assumptions!$D$48/12,Assumptions!$D$49*12,B86,37,48,0))</f>
        <v>-145929.5429696163</v>
      </c>
      <c r="G92" s="5">
        <f>IF(B86=0,0,CUMIPMT(Assumptions!$D$48/12,Assumptions!$D$49*12,B86,49,60,0))</f>
        <v>-135034.14918811523</v>
      </c>
      <c r="H92" s="5">
        <f>IF(B86=0,0,CUMIPMT(Assumptions!$D$48/12,Assumptions!$D$49*12,B86,61,72,0))</f>
        <v>-123835.32657766921</v>
      </c>
      <c r="I92" s="5">
        <f>IF(B86=0,0,CUMIPMT(Assumptions!$D$48/12,Assumptions!$D$49*12,B86,73,84,0))</f>
        <v>-112324.62486506355</v>
      </c>
    </row>
    <row r="93" spans="1:9" x14ac:dyDescent="0.25">
      <c r="A93" t="s">
        <v>192</v>
      </c>
      <c r="C93" s="5">
        <f>IF(B86=0,0,CUMPRINC(Assumptions!$D$48/12,Assumptions!$D$49*12,B86,1,12,0))</f>
        <v>-360280.46810456616</v>
      </c>
      <c r="D93" s="5">
        <f>IF(B86=0,0,CUMPRINC(Assumptions!$D$48/12,Assumptions!$D$49*12,B86,13,24,0))</f>
        <v>-370314.0183112898</v>
      </c>
      <c r="E93" s="5">
        <f>IF(B86=0,0,CUMPRINC(Assumptions!$D$48/12,Assumptions!$D$49*12,B86,25,36,0))</f>
        <v>-380626.9956273443</v>
      </c>
      <c r="F93" s="5">
        <f>IF(B86=0,0,CUMPRINC(Assumptions!$D$48/12,Assumptions!$D$49*12,B86,37,48,0))</f>
        <v>-391227.18189542944</v>
      </c>
      <c r="G93" s="5">
        <f>IF(B86=0,0,CUMPRINC(Assumptions!$D$48/12,Assumptions!$D$49*12,B86,49,60,0))</f>
        <v>-402122.57567693054</v>
      </c>
      <c r="H93" s="5">
        <f>IF(B86=0,0,CUMPRINC(Assumptions!$D$48/12,Assumptions!$D$49*12,B86,61,72,0))</f>
        <v>-413321.39828737656</v>
      </c>
      <c r="I93" s="5">
        <f>IF(B86=0,0,CUMPRINC(Assumptions!$D$48/12,Assumptions!$D$49*12,B86,73,84,0))</f>
        <v>-424832.0999999822</v>
      </c>
    </row>
    <row r="94" spans="1:9" x14ac:dyDescent="0.25">
      <c r="A94" t="s">
        <v>222</v>
      </c>
      <c r="C94" s="5">
        <f>C91+C92+C93</f>
        <v>442073.0565983693</v>
      </c>
      <c r="D94" s="5">
        <f>D91+D92+D93</f>
        <v>544902.4052812965</v>
      </c>
      <c r="E94" s="5">
        <f>E91+E92+E93</f>
        <v>612788.9576949545</v>
      </c>
      <c r="F94" s="5">
        <f>F91+F92+F93</f>
        <v>635787.8713461545</v>
      </c>
      <c r="G94" s="5">
        <f>G91+G92+G93</f>
        <v>659246.7632703786</v>
      </c>
      <c r="H94" s="5">
        <f>H91+H92+H93</f>
        <v>683174.833033087</v>
      </c>
      <c r="I94" s="5">
        <f>I91+I92+I93</f>
        <v>707581.46419105</v>
      </c>
    </row>
    <row r="95" spans="1:9" x14ac:dyDescent="0.25">
      <c r="A95" t="s">
        <v>223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</row>
    <row r="96" spans="1:9" x14ac:dyDescent="0.25">
      <c r="A96" t="s">
        <v>224</v>
      </c>
      <c r="C96" s="5">
        <f>IF(1=MIN(MAX(1,ROUNDUP(vat_months/12,0)),7),-B85,0)</f>
        <v>267330</v>
      </c>
      <c r="D96" s="5">
        <f>IF(2=MIN(MAX(1,ROUNDUP(vat_months/12,0)),7),-B85,0)</f>
        <v>0</v>
      </c>
      <c r="E96" s="5">
        <f>IF(3=MIN(MAX(1,ROUNDUP(vat_months/12,0)),7),-B85,0)</f>
        <v>0</v>
      </c>
      <c r="F96" s="5">
        <f>IF(4=MIN(MAX(1,ROUNDUP(vat_months/12,0)),7),-B85,0)</f>
        <v>0</v>
      </c>
      <c r="G96" s="5">
        <f>IF(5=MIN(MAX(1,ROUNDUP(vat_months/12,0)),7),-B85,0)</f>
        <v>0</v>
      </c>
      <c r="H96" s="5">
        <f>IF(6=MIN(MAX(1,ROUNDUP(vat_months/12,0)),7),-B85,0)</f>
        <v>0</v>
      </c>
      <c r="I96" s="5">
        <f>IF(7=MIN(MAX(1,ROUNDUP(vat_months/12,0)),7),-B85,0)</f>
        <v>0</v>
      </c>
    </row>
    <row r="97" spans="1:9" x14ac:dyDescent="0.25">
      <c r="A97" t="s">
        <v>225</v>
      </c>
      <c r="C97" s="5">
        <f>C94+C95+C96</f>
        <v>709403.0565983693</v>
      </c>
      <c r="D97" s="5">
        <f>C97+D94+D95+D96</f>
        <v>1254305.4618796657</v>
      </c>
      <c r="E97" s="5">
        <f>D97+E94+E95+E96</f>
        <v>1867094.4195746202</v>
      </c>
      <c r="F97" s="5">
        <f>E97+F94+F95+F96</f>
        <v>2502882.2909207745</v>
      </c>
      <c r="G97" s="5">
        <f>F97+G94+G95+G96</f>
        <v>3162129.054191153</v>
      </c>
      <c r="H97" s="5">
        <f>G97+H94+H95+H96</f>
        <v>3845303.88722424</v>
      </c>
      <c r="I97" s="5">
        <f>H97+I94+I95+I96</f>
        <v>4552885.3514152905</v>
      </c>
    </row>
    <row r="98" spans="1:9" x14ac:dyDescent="0.25">
      <c r="A98" t="s">
        <v>226</v>
      </c>
      <c r="C98" s="7">
        <f>IF((C92+C93)=0,0,-C91/(C92+C93))</f>
        <v>1.8229871025247517</v>
      </c>
      <c r="D98" s="7">
        <f>IF((D92+D93)=0,0,-D91/(D92+D93))</f>
        <v>2.014419777427522</v>
      </c>
      <c r="E98" s="7">
        <f>IF((E92+E93)=0,0,-E91/(E92+E93))</f>
        <v>2.140801053638322</v>
      </c>
      <c r="F98" s="7">
        <f>IF((F92+F93)=0,0,-F91/(F92+F93))</f>
        <v>2.183617074711089</v>
      </c>
      <c r="G98" s="7">
        <f>IF((G92+G93)=0,0,-G91/(G92+G93))</f>
        <v>2.2272894162053105</v>
      </c>
      <c r="H98" s="7">
        <f>IF((H92+H93)=0,0,-H91/(H92+H93))</f>
        <v>2.271835204529417</v>
      </c>
      <c r="I98" s="7">
        <f>IF((I92+I93)=0,0,-I91/(I92+I93))</f>
        <v>2.3172719086200053</v>
      </c>
    </row>
    <row r="100" spans="1:9" x14ac:dyDescent="0.25">
      <c r="A100" t="s">
        <v>26</v>
      </c>
      <c r="C100" s="5">
        <f>IF(1=7,'P&amp;L'!I31/cap,0)</f>
        <v>0</v>
      </c>
      <c r="D100" s="5">
        <f>IF(2=7,'P&amp;L'!I31/cap,0)</f>
        <v>0</v>
      </c>
      <c r="E100" s="5">
        <f>IF(3=7,'P&amp;L'!I31/cap,0)</f>
        <v>0</v>
      </c>
      <c r="F100" s="5">
        <f>IF(4=7,'P&amp;L'!I31/cap,0)</f>
        <v>0</v>
      </c>
      <c r="G100" s="5">
        <f>IF(5=7,'P&amp;L'!I31/cap,0)</f>
        <v>0</v>
      </c>
      <c r="H100" s="5">
        <f>IF(6=7,'P&amp;L'!I31/cap,0)</f>
        <v>0</v>
      </c>
      <c r="I100" s="5">
        <f>IF(7=7,'P&amp;L'!I31/cap,0)</f>
        <v>17781974.129372794</v>
      </c>
    </row>
    <row r="101" spans="1:9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-355639.4825874567</v>
      </c>
    </row>
    <row r="102" spans="1:9" x14ac:dyDescent="0.25">
      <c r="A102" t="s">
        <v>28</v>
      </c>
      <c r="C102" s="5">
        <f>IF(1&lt;7,0,IF(B86=0,0,-(B86+CUMPRINC(Assumptions!$D$48/12,Assumptions!$D$49*12,B86,1,84,0))))</f>
        <v>0</v>
      </c>
      <c r="D102" s="5">
        <f>IF(2&lt;7,0,IF(B86=0,0,-(B86+CUMPRINC(Assumptions!$D$48/12,Assumptions!$D$49*12,B86,1,84,0))))</f>
        <v>0</v>
      </c>
      <c r="E102" s="5">
        <f>IF(3&lt;7,0,IF(B86=0,0,-(B86+CUMPRINC(Assumptions!$D$48/12,Assumptions!$D$49*12,B86,1,84,0))))</f>
        <v>0</v>
      </c>
      <c r="F102" s="5">
        <f>IF(4&lt;7,0,IF(B86=0,0,-(B86+CUMPRINC(Assumptions!$D$48/12,Assumptions!$D$49*12,B86,1,84,0))))</f>
        <v>0</v>
      </c>
      <c r="G102" s="5">
        <f>IF(5&lt;7,0,IF(B86=0,0,-(B86+CUMPRINC(Assumptions!$D$48/12,Assumptions!$D$49*12,B86,1,84,0))))</f>
        <v>0</v>
      </c>
      <c r="H102" s="5">
        <f>IF(6&lt;7,0,IF(B86=0,0,-(B86+CUMPRINC(Assumptions!$D$48/12,Assumptions!$D$49*12,B86,1,84,0))))</f>
        <v>0</v>
      </c>
      <c r="I102" s="5">
        <f>IF(7&lt;7,0,IF(B86=0,0,-(B86+CUMPRINC(Assumptions!$D$48/12,Assumptions!$D$49*12,B86,1,84,0))))</f>
        <v>-3853448.731484837</v>
      </c>
    </row>
    <row r="103" spans="1:9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13572885.9153005</v>
      </c>
    </row>
    <row r="105" spans="1:9" x14ac:dyDescent="0.25">
      <c r="A105" t="s">
        <v>201</v>
      </c>
      <c r="C105" s="5">
        <f>353658.4452786955</f>
        <v>353658.4452786955</v>
      </c>
      <c r="D105" s="5">
        <f>435921.9242250372</f>
        <v>435921.9242250372</v>
      </c>
      <c r="E105" s="5">
        <f>490231.1661559636</f>
        <v>490231.1661559636</v>
      </c>
      <c r="F105" s="5">
        <f>508630.2970769236</f>
        <v>508630.2970769236</v>
      </c>
      <c r="G105" s="5">
        <f>527397.4106163029</f>
        <v>527397.4106163029</v>
      </c>
      <c r="H105" s="5">
        <f>546539.8664264696</f>
        <v>546539.8664264696</v>
      </c>
      <c r="I105" s="5">
        <f>566065.17135284</f>
        <v>566065.17135284</v>
      </c>
    </row>
    <row r="106" spans="1:9" x14ac:dyDescent="0.25">
      <c r="A106" t="s">
        <v>202</v>
      </c>
      <c r="C106" s="5">
        <f>88414.61131967383</f>
        <v>88414.61131967383</v>
      </c>
      <c r="D106" s="5">
        <f>108980.48105625925</f>
        <v>108980.48105625925</v>
      </c>
      <c r="E106" s="5">
        <f>122557.79153899086</f>
        <v>122557.79153899086</v>
      </c>
      <c r="F106" s="5">
        <f>127157.57426923088</f>
        <v>127157.57426923088</v>
      </c>
      <c r="G106" s="5">
        <f>131849.35265407572</f>
        <v>131849.35265407572</v>
      </c>
      <c r="H106" s="5">
        <f>136634.96660661732</f>
        <v>136634.96660661732</v>
      </c>
      <c r="I106" s="5">
        <f>141516.29283821</f>
        <v>141516.29283821</v>
      </c>
    </row>
    <row r="107" spans="1:9" x14ac:dyDescent="0.25">
      <c r="A107" t="s">
        <v>227</v>
      </c>
      <c r="C107" s="5">
        <f>IF(1=7,8815185.747468226,0)</f>
        <v>0</v>
      </c>
      <c r="D107" s="5">
        <f>IF(2=7,8815185.747468226,0)</f>
        <v>0</v>
      </c>
      <c r="E107" s="5">
        <f>IF(3=7,8815185.747468226,0)</f>
        <v>0</v>
      </c>
      <c r="F107" s="5">
        <f>IF(4=7,8815185.747468226,0)</f>
        <v>0</v>
      </c>
      <c r="G107" s="5">
        <f>IF(5=7,8815185.747468226,0)</f>
        <v>0</v>
      </c>
      <c r="H107" s="5">
        <f>IF(6=7,8815185.747468226,0)</f>
        <v>0</v>
      </c>
      <c r="I107" s="5">
        <f>IF(7=7,8815185.747468226,0)</f>
        <v>8815185.747468226</v>
      </c>
    </row>
    <row r="108" spans="1:9" x14ac:dyDescent="0.25">
      <c r="A108" t="s">
        <v>228</v>
      </c>
      <c r="C108" s="5">
        <f>IF(1=7,4757700.167832274,0)</f>
        <v>0</v>
      </c>
      <c r="D108" s="5">
        <f>IF(2=7,4757700.167832274,0)</f>
        <v>0</v>
      </c>
      <c r="E108" s="5">
        <f>IF(3=7,4757700.167832274,0)</f>
        <v>0</v>
      </c>
      <c r="F108" s="5">
        <f>IF(4=7,4757700.167832274,0)</f>
        <v>0</v>
      </c>
      <c r="G108" s="5">
        <f>IF(5=7,4757700.167832274,0)</f>
        <v>0</v>
      </c>
      <c r="H108" s="5">
        <f>IF(6=7,4757700.167832274,0)</f>
        <v>0</v>
      </c>
      <c r="I108" s="5">
        <f>IF(7=7,4757700.167832274,0)</f>
        <v>4757700.167832274</v>
      </c>
    </row>
    <row r="109" spans="1:9" x14ac:dyDescent="0.25">
      <c r="A109" t="s">
        <v>229</v>
      </c>
      <c r="C109" s="5">
        <f>(C95+C96)*(1-gp_pct)</f>
        <v>213864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</row>
    <row r="110" spans="1:9" x14ac:dyDescent="0.25">
      <c r="A110" t="s">
        <v>230</v>
      </c>
      <c r="C110" s="5">
        <f>(C95+C96)*gp_pct</f>
        <v>53465.999999999985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</row>
    <row r="111" spans="1:9" x14ac:dyDescent="0.25">
      <c r="A111" s="3" t="s">
        <v>231</v>
      </c>
      <c r="C111" s="5">
        <f>SUM(C105:C110)</f>
        <v>709403.0565983693</v>
      </c>
      <c r="D111" s="5">
        <f>SUM(D105:D110)</f>
        <v>544902.4052812965</v>
      </c>
      <c r="E111" s="5">
        <f>SUM(E105:E110)</f>
        <v>612788.9576949545</v>
      </c>
      <c r="F111" s="5">
        <f>SUM(F105:F110)</f>
        <v>635787.8713461545</v>
      </c>
      <c r="G111" s="5">
        <f>SUM(G105:G110)</f>
        <v>659246.7632703786</v>
      </c>
      <c r="H111" s="5">
        <f>SUM(H105:H110)</f>
        <v>683174.833033087</v>
      </c>
      <c r="I111" s="5">
        <f>SUM(I105:I110)</f>
        <v>14280467.379491549</v>
      </c>
    </row>
    <row r="113" spans="1:9" x14ac:dyDescent="0.25">
      <c r="A113" t="s">
        <v>232</v>
      </c>
      <c r="C113" s="5">
        <f>C94+C95+C96+C103</f>
        <v>709403.0565983693</v>
      </c>
      <c r="D113" s="5">
        <f>D94+D95+D96+D103</f>
        <v>544902.4052812965</v>
      </c>
      <c r="E113" s="5">
        <f>E94+E95+E96+E103</f>
        <v>612788.9576949545</v>
      </c>
      <c r="F113" s="5">
        <f>F94+F95+F96+F103</f>
        <v>635787.8713461545</v>
      </c>
      <c r="G113" s="5">
        <f>G94+G95+G96+G103</f>
        <v>659246.7632703786</v>
      </c>
      <c r="H113" s="5">
        <f>H94+H95+H96+H103</f>
        <v>683174.833033087</v>
      </c>
      <c r="I113" s="5">
        <f>I94+I95+I96+I103</f>
        <v>14280467.379491549</v>
      </c>
    </row>
    <row r="114" spans="1:9" x14ac:dyDescent="0.25">
      <c r="A114" t="s">
        <v>233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</row>
    <row r="116" spans="1:9" x14ac:dyDescent="0.25">
      <c r="A116" t="s">
        <v>234</v>
      </c>
      <c r="B116" s="5">
        <f>-B87</f>
        <v>-3847360.428571429</v>
      </c>
      <c r="C116" s="5">
        <f>C105+C107+C109</f>
        <v>567522.4452786956</v>
      </c>
      <c r="D116" s="5">
        <f>D105+D107+D109</f>
        <v>435921.9242250372</v>
      </c>
      <c r="E116" s="5">
        <f>E105+E107+E109</f>
        <v>490231.1661559636</v>
      </c>
      <c r="F116" s="5">
        <f>F105+F107+F109</f>
        <v>508630.2970769236</v>
      </c>
      <c r="G116" s="5">
        <f>G105+G107+G109</f>
        <v>527397.4106163029</v>
      </c>
      <c r="H116" s="5">
        <f>H105+H107+H109</f>
        <v>546539.8664264696</v>
      </c>
      <c r="I116" s="5">
        <f>I105+I107+I109</f>
        <v>9381250.918821067</v>
      </c>
    </row>
    <row r="117" spans="1:9" x14ac:dyDescent="0.25">
      <c r="A117" t="s">
        <v>235</v>
      </c>
      <c r="B117" s="5">
        <f>B116</f>
        <v>-3847360.428571429</v>
      </c>
      <c r="C117" s="5">
        <f>B117+C116</f>
        <v>-3279837.9832927333</v>
      </c>
      <c r="D117" s="5">
        <f>C117+D116</f>
        <v>-2843916.0590676963</v>
      </c>
      <c r="E117" s="5">
        <f>D117+E116</f>
        <v>-2353684.8929117327</v>
      </c>
      <c r="F117" s="5">
        <f>E117+F116</f>
        <v>-1845054.5958348091</v>
      </c>
      <c r="G117" s="5">
        <f>F117+G116</f>
        <v>-1317657.1852185063</v>
      </c>
      <c r="H117" s="5">
        <f>G117+H116</f>
        <v>-771117.3187920366</v>
      </c>
      <c r="I117" s="5">
        <f>H117+I116</f>
        <v>8610133.60002903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238</v>
      </c>
    </row>
    <row r="3" spans="1:7" x14ac:dyDescent="0.25">
      <c r="A3" s="3" t="s">
        <v>239</v>
      </c>
      <c r="B3" s="3" t="s">
        <v>13</v>
      </c>
      <c r="C3" s="3" t="s">
        <v>19</v>
      </c>
      <c r="D3" s="3" t="s">
        <v>31</v>
      </c>
      <c r="E3" s="3" t="s">
        <v>212</v>
      </c>
      <c r="F3" s="3" t="s">
        <v>226</v>
      </c>
      <c r="G3" s="3" t="s">
        <v>240</v>
      </c>
    </row>
    <row r="4" spans="1:7" x14ac:dyDescent="0.25">
      <c r="A4" t="s">
        <v>81</v>
      </c>
      <c r="B4" s="5">
        <v>0</v>
      </c>
      <c r="C4" s="5">
        <v>8706061</v>
      </c>
      <c r="D4" s="6">
        <v>0.14495353473088674</v>
      </c>
      <c r="E4" s="7">
        <v>2.1900852396385635</v>
      </c>
      <c r="F4" s="7"/>
      <c r="G4" t="s">
        <v>241</v>
      </c>
    </row>
    <row r="5" spans="1:7" x14ac:dyDescent="0.25">
      <c r="A5" t="s">
        <v>12</v>
      </c>
      <c r="B5" s="5">
        <v>5496811</v>
      </c>
      <c r="C5" s="5">
        <v>4494957</v>
      </c>
      <c r="D5" s="6">
        <v>0.20395433835256122</v>
      </c>
      <c r="E5" s="7">
        <v>2.9786423249236837</v>
      </c>
      <c r="F5" s="7">
        <v>2.5689612643659863</v>
      </c>
      <c r="G5" t="s">
        <v>242</v>
      </c>
    </row>
    <row r="6" spans="1:7" x14ac:dyDescent="0.25">
      <c r="A6" t="s">
        <v>83</v>
      </c>
      <c r="B6" s="5">
        <v>6596173</v>
      </c>
      <c r="C6" s="5">
        <v>3633496</v>
      </c>
      <c r="D6" s="6">
        <v>0.22849059615775366</v>
      </c>
      <c r="E6" s="7">
        <v>3.3696551707948834</v>
      </c>
      <c r="F6" s="7">
        <v>2.1408010536383224</v>
      </c>
      <c r="G6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2026-09-21T00:13:40Z</dcterms:created>
  <dcterms:modified xsi:type="dcterms:W3CDTF">2026-09-21T00:13:40Z</dcterms:modified>
</cp:coreProperties>
</file>