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Mix'!$B$49</definedName>
    <definedName name="blended_incl">'Unit Mix'!$B$50</definedName>
    <definedName name="clean_base">'Unit Mix'!$B$51</definedName>
    <definedName name="anc_units">'Unit Mix'!$B$52</definedName>
    <definedName name="mtr_n">'Unit Mix'!$B$53</definedName>
    <definedName name="cost_unit_n">'Unit Mix'!$B$54</definedName>
    <definedName name="mtr_rent_a">'Unit Mix'!$B$55</definedName>
    <definedName name="turn_base">'Unit Mix'!$B$56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<sst xmlns="http://schemas.openxmlformats.org/spreadsheetml/2006/main" count="470" uniqueCount="246">
  <si>
    <t>Bilbao La Vieja 4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</si>
  <si>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</si>
  <si>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</si>
  <si>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</si>
  <si>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</si>
  <si>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</si>
  <si>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</si>
  <si>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</si>
  <si>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</si>
  <si>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</si>
  <si>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</si>
  <si>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</si>
  <si>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55%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</si>
  <si>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</si>
  <si>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</si>
  <si>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</si>
  <si>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</si>
  <si>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</si>
  <si>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</si>
  <si>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</si>
  <si>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</si>
  <si>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</si>
  <si>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</si>
  <si>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</si>
  <si>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</si>
  <si>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</si>
  <si>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</si>
  <si>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</si>
  <si>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</si>
  <si>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</si>
  <si>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</si>
  <si>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</si>
  <si>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</si>
  <si>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</si>
  <si>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</si>
  <si>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</si>
  <si>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</si>
  <si>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</si>
  <si>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</si>
  <si>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</si>
  <si>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</si>
  <si>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</si>
  <si>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</si>
  <si>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</si>
  <si>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</si>
  <si>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</si>
  <si>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</si>
  <si>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</si>
  <si>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</si>
  <si>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</si>
  <si>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</si>
  <si>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</si>
  <si>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</si>
  <si>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</si>
  <si>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</si>
  <si>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</si>
  <si>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</si>
  <si>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</si>
  <si>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</si>
  <si>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</si>
  <si>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</si>
  <si>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</si>
  <si>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</si>
  <si>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</si>
  <si>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</si>
  <si>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</si>
  <si>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</si>
  <si>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</si>
  <si>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</si>
  <si>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</si>
  <si>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</si>
  <si>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</si>
  <si>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</si>
  <si>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</si>
  <si>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</si>
  <si>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</si>
  <si>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</si>
  <si>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</si>
  <si>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</si>
  <si>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</si>
  <si>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</si>
  <si>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</si>
  <si>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55% LTV  ←</t>
  </si>
  <si>
    <t>65%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</si>
  <si>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</si>
  <si>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</si>
  <si>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</si>
  <si>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</si>
  <si>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</si>
  <si>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</si>
  <si>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</si>
  <si>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</si>
  <si>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</si>
  <si>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</si>
  <si>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</si>
  <si>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</si>
  <si>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</si>
  <si>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</si>
  <si>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</si>
  <si>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</si>
  <si>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</si>
  <si>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</si>
  <si>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</si>
  <si>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</si>
  <si>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</si>
  <si>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</si>
  <si>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Standard room</t>
  </si>
  <si>
    <t>STR</t>
  </si>
  <si>
    <t>River room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</si>
  <si>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</si>
  <si>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</si>
  <si>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</si>
  <si>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</si>
  <si>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</si>
  <si>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</si>
  <si>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</si>
  <si>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</si>
  <si>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</si>
  <si>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</si>
  <si>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</si>
  <si>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</si>
  <si>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</si>
  <si>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</si>
  <si>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</si>
  <si>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</si>
  <si>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</si>
  <si>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</si>
  <si>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</si>
  <si>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</si>
  <si>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</si>
  <si>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</si>
  <si>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</si>
  <si>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</si>
  <si>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</si>
  <si>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</si>
  <si>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</si>
  <si>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</si>
  <si>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</si>
  <si>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</si>
  <si>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</si>
  <si>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</si>
  <si>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</si>
  <si>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</si>
  <si>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</si>
  <si>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</si>
  <si>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</si>
  <si>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</si>
  <si>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</si>
  <si>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</si>
  <si>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</si>
  <si>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</si>
  <si>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</si>
  <si>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</si>
  <si>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</si>
  <si>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</si>
  <si>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</si>
  <si>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</si>
  <si>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</si>
  <si>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</si>
  <si>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</si>
  <si>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</si>
  <si>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</si>
  <si>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</si>
  <si>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</si>
  <si>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</si>
  <si>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</si>
  <si>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</si>
  <si>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</si>
  <si>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</si>
  <si>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</si>
  <si>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</si>
  <si>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</si>
  <si>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</si>
  <si>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</si>
  <si>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</si>
  <si>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</si>
  <si>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</si>
  <si>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</si>
  <si>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</si>
  <si>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</si>
  <si>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</si>
  <si>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</si>
  <si>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</si>
  <si>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</si>
  <si>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</si>
  <si>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</si>
  <si>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</si>
  <si>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</si>
  <si>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</si>
  <si>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</si>
  <si>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</si>
  <si>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</si>
  <si>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</si>
  <si>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</si>
  <si>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</si>
  <si>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</si>
  <si>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</si>
  <si>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</si>
  <si>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</si>
  <si>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</si>
  <si>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</si>
  <si>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</si>
  <si>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</si>
  <si>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</si>
  <si>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</si>
  <si>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</si>
  <si>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</si>
  <si>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</si>
  <si>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</si>
  <si>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</si>
  <si>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</si>
  <si>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</si>
  <si>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</si>
  <si>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</si>
  <si>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</si>
  <si>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</si>
  <si>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</si>
  <si>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</si>
  <si>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</si>
  <si>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</si>
  <si>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</si>
  <si>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</si>
  <si>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</si>
  <si>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</si>
  <si>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</si>
  <si>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</si>
  <si>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</si>
  <si>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</si>
  <si>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</si>
  <si>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</si>
  <si>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</si>
  <si>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</si>
  <si>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</si>
  <si>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</si>
  <si>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</si>
  <si>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</si>
  <si>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</si>
  <si>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</si>
  <si>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</si>
  <si>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55% LTV  ← reported  ·  cash live, LP/GP split as modelled</t>
  </si>
  <si>
    <t>65%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</si>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</sst>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46</v>
      </c>
    </row>
    <row r="7" spans="1:2" x14ac:dyDescent="0.25">
      <c r="A7" t="s">
        <v>5</v>
      </c>
      <c r="B7" s="5">
        <f>price</f>
        <v>7800000</v>
      </c>
    </row>
    <row r="8" spans="1:2" x14ac:dyDescent="0.25">
      <c r="A8" t="s">
        <v>6</v>
      </c>
      <c r="B8" s="5">
        <f>tpc</f>
        <v>9506734.693877552</v>
      </c>
    </row>
    <row r="9" spans="1:2" x14ac:dyDescent="0.25">
      <c r="A9" t="s">
        <v>7</v>
      </c>
      <c r="B9" s="5">
        <f>IF(units_c=0,0,tpc/units_c)</f>
        <v>206668.14551907722</v>
      </c>
    </row>
    <row r="10" spans="1:2" x14ac:dyDescent="0.25">
      <c r="A10" t="s">
        <v>8</v>
      </c>
      <c r="B10" s="5">
        <f>'P&amp;L'!E31</f>
        <v>933549.8914319997</v>
      </c>
    </row>
    <row r="11" spans="1:2" x14ac:dyDescent="0.25">
      <c r="A11" t="s">
        <v>9</v>
      </c>
      <c r="B11" s="6">
        <f>IF(tpc=0,0,B10/tpc)</f>
        <v>0.09819879501141615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5228704.081632654</v>
      </c>
    </row>
    <row r="16" spans="1:2" x14ac:dyDescent="0.25">
      <c r="A16" t="s">
        <v>14</v>
      </c>
      <c r="B16" s="6">
        <f>IF(tpc=0,0,B15/tpc)</f>
        <v>0.55</v>
      </c>
    </row>
    <row r="17" spans="1:2" x14ac:dyDescent="0.25">
      <c r="A17" t="s">
        <v>15</v>
      </c>
      <c r="B17" s="5">
        <f>Waterfall!B4</f>
        <v>120238.43367346941</v>
      </c>
    </row>
    <row r="18" spans="1:2" x14ac:dyDescent="0.25">
      <c r="A18" t="s">
        <v>16</v>
      </c>
      <c r="B18" s="5">
        <f>eq_total</f>
        <v>4398269.045918367</v>
      </c>
    </row>
    <row r="19" spans="1:2" x14ac:dyDescent="0.25">
      <c r="A19" t="s">
        <v>17</v>
      </c>
      <c r="B19" s="5">
        <f>vat_float</f>
        <v>207921</v>
      </c>
    </row>
    <row r="20" spans="1:2" x14ac:dyDescent="0.25">
      <c r="A20" t="s">
        <v>18</v>
      </c>
      <c r="B20" s="5">
        <f>eq_total+vat_float</f>
        <v>4606190.045918367</v>
      </c>
    </row>
    <row r="21" spans="1:2" x14ac:dyDescent="0.25">
      <c r="A21" t="s">
        <v>19</v>
      </c>
      <c r="B21" s="5">
        <f>eq_lp</f>
        <v>3518615.236734694</v>
      </c>
    </row>
    <row r="22" spans="1:2" x14ac:dyDescent="0.25">
      <c r="A22" t="s">
        <v>20</v>
      </c>
      <c r="B22" s="5">
        <f>eq_gp</f>
        <v>879653.8091836735</v>
      </c>
    </row>
    <row r="23" spans="1:2" x14ac:dyDescent="0.25">
      <c r="A23" t="s">
        <v>21</v>
      </c>
      <c r="B23" s="5">
        <f>Waterfall!B8</f>
        <v>425797.4070592455</v>
      </c>
    </row>
    <row r="24" spans="1:2" x14ac:dyDescent="0.25">
      <c r="A24" t="s">
        <v>22</v>
      </c>
      <c r="B24" s="7">
        <f>IF(Waterfall!B8=0,0,B10/Waterfall!B8)</f>
        <v>2.1924743456742224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10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15319362.576049708</v>
      </c>
    </row>
    <row r="30" spans="1:2" x14ac:dyDescent="0.25">
      <c r="A30" t="s">
        <v>27</v>
      </c>
      <c r="B30" s="5">
        <f>Waterfall!B27</f>
        <v>-306387.2515209942</v>
      </c>
    </row>
    <row r="31" spans="1:2" x14ac:dyDescent="0.25">
      <c r="A31" t="s">
        <v>28</v>
      </c>
      <c r="B31" s="5">
        <f>Waterfall!B28</f>
        <v>1986980.2956712737</v>
      </c>
    </row>
    <row r="32" spans="1:2" x14ac:dyDescent="0.25">
      <c r="A32" t="s">
        <v>29</v>
      </c>
      <c r="B32" s="5">
        <f>Waterfall!B29</f>
        <v>13025995.02885744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0.17626054233412145</v>
      </c>
    </row>
    <row r="36" spans="1:2" x14ac:dyDescent="0.25">
      <c r="A36" t="s">
        <v>32</v>
      </c>
      <c r="B36" s="7">
        <f>Waterfall!B38</f>
        <v>3.649002451429639</v>
      </c>
    </row>
    <row r="37" spans="1:2" x14ac:dyDescent="0.25">
      <c r="A37" t="s">
        <v>33</v>
      </c>
      <c r="B37" s="5">
        <f>Waterfall!B37</f>
        <v>12839435.624482578</v>
      </c>
    </row>
    <row r="38" spans="1:2" x14ac:dyDescent="0.25">
      <c r="A38" t="s">
        <v>34</v>
      </c>
      <c r="B38" s="6">
        <f>IF(eq_lp=0,0,AVERAGE(Waterfall!C22:L22)/eq_lp)</f>
        <v>0.12321620392808297</v>
      </c>
    </row>
    <row r="39" spans="1:2" x14ac:dyDescent="0.25">
      <c r="A39" t="s">
        <v>35</v>
      </c>
      <c r="B39" s="6">
        <f>IRR('Cash Flow'!B77:'Cash Flow'!L77)</f>
        <v>0.17511508346792234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SUM(Waterfall!C23:L23)+Waterfall!B32</f>
        <v>5605939.561299387</v>
      </c>
    </row>
    <row r="43" spans="1:2" x14ac:dyDescent="0.25">
      <c r="A43" t="s">
        <v>38</v>
      </c>
      <c r="B43" s="7">
        <f>IF(eq_gp=0,0,B42/eq_gp)</f>
        <v>6.3728929526284315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0.75</v>
      </c>
    </row>
    <row r="21" spans="1:2" x14ac:dyDescent="0.25">
      <c r="A21" t="s">
        <v>57</v>
      </c>
      <c r="B21" s="11">
        <v>14.5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19000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0.55</v>
      </c>
      <c r="D47" s="8">
        <v>0.65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138</v>
      </c>
      <c r="D2" s="8">
        <v>0.76</v>
      </c>
      <c r="E2" s="11">
        <v>0</v>
      </c>
      <c r="F2" s="11">
        <v>0</v>
      </c>
    </row>
    <row r="3" spans="1:6" x14ac:dyDescent="0.25">
      <c r="A3" t="s">
        <v>106</v>
      </c>
      <c r="B3" t="s">
        <v>107</v>
      </c>
      <c r="C3" s="11">
        <v>138</v>
      </c>
      <c r="D3" s="8">
        <v>0.76</v>
      </c>
      <c r="E3" s="11">
        <v>0</v>
      </c>
      <c r="F3" s="11">
        <v>0</v>
      </c>
    </row>
    <row r="4" spans="1:6" x14ac:dyDescent="0.25">
      <c r="A4" t="s">
        <v>106</v>
      </c>
      <c r="B4" t="s">
        <v>107</v>
      </c>
      <c r="C4" s="11">
        <v>138</v>
      </c>
      <c r="D4" s="8">
        <v>0.76</v>
      </c>
      <c r="E4" s="11">
        <v>0</v>
      </c>
      <c r="F4" s="11">
        <v>0</v>
      </c>
    </row>
    <row r="5" spans="1:6" x14ac:dyDescent="0.25">
      <c r="A5" t="s">
        <v>106</v>
      </c>
      <c r="B5" t="s">
        <v>107</v>
      </c>
      <c r="C5" s="11">
        <v>138</v>
      </c>
      <c r="D5" s="8">
        <v>0.76</v>
      </c>
      <c r="E5" s="11">
        <v>0</v>
      </c>
      <c r="F5" s="11">
        <v>0</v>
      </c>
    </row>
    <row r="6" spans="1:6" x14ac:dyDescent="0.25">
      <c r="A6" t="s">
        <v>106</v>
      </c>
      <c r="B6" t="s">
        <v>107</v>
      </c>
      <c r="C6" s="11">
        <v>138</v>
      </c>
      <c r="D6" s="8">
        <v>0.76</v>
      </c>
      <c r="E6" s="11">
        <v>0</v>
      </c>
      <c r="F6" s="11">
        <v>0</v>
      </c>
    </row>
    <row r="7" spans="1:6" x14ac:dyDescent="0.25">
      <c r="A7" t="s">
        <v>106</v>
      </c>
      <c r="B7" t="s">
        <v>107</v>
      </c>
      <c r="C7" s="11">
        <v>138</v>
      </c>
      <c r="D7" s="8">
        <v>0.76</v>
      </c>
      <c r="E7" s="11">
        <v>0</v>
      </c>
      <c r="F7" s="11">
        <v>0</v>
      </c>
    </row>
    <row r="8" spans="1:6" x14ac:dyDescent="0.25">
      <c r="A8" t="s">
        <v>106</v>
      </c>
      <c r="B8" t="s">
        <v>107</v>
      </c>
      <c r="C8" s="11">
        <v>138</v>
      </c>
      <c r="D8" s="8">
        <v>0.76</v>
      </c>
      <c r="E8" s="11">
        <v>0</v>
      </c>
      <c r="F8" s="11">
        <v>0</v>
      </c>
    </row>
    <row r="9" spans="1:6" x14ac:dyDescent="0.25">
      <c r="A9" t="s">
        <v>106</v>
      </c>
      <c r="B9" t="s">
        <v>107</v>
      </c>
      <c r="C9" s="11">
        <v>138</v>
      </c>
      <c r="D9" s="8">
        <v>0.76</v>
      </c>
      <c r="E9" s="11">
        <v>0</v>
      </c>
      <c r="F9" s="11">
        <v>0</v>
      </c>
    </row>
    <row r="10" spans="1:6" x14ac:dyDescent="0.25">
      <c r="A10" t="s">
        <v>106</v>
      </c>
      <c r="B10" t="s">
        <v>107</v>
      </c>
      <c r="C10" s="11">
        <v>138</v>
      </c>
      <c r="D10" s="8">
        <v>0.76</v>
      </c>
      <c r="E10" s="11">
        <v>0</v>
      </c>
      <c r="F10" s="11">
        <v>0</v>
      </c>
    </row>
    <row r="11" spans="1:6" x14ac:dyDescent="0.25">
      <c r="A11" t="s">
        <v>106</v>
      </c>
      <c r="B11" t="s">
        <v>107</v>
      </c>
      <c r="C11" s="11">
        <v>138</v>
      </c>
      <c r="D11" s="8">
        <v>0.76</v>
      </c>
      <c r="E11" s="11">
        <v>0</v>
      </c>
      <c r="F11" s="11">
        <v>0</v>
      </c>
    </row>
    <row r="12" spans="1:6" x14ac:dyDescent="0.25">
      <c r="A12" t="s">
        <v>106</v>
      </c>
      <c r="B12" t="s">
        <v>107</v>
      </c>
      <c r="C12" s="11">
        <v>138</v>
      </c>
      <c r="D12" s="8">
        <v>0.76</v>
      </c>
      <c r="E12" s="11">
        <v>0</v>
      </c>
      <c r="F12" s="11">
        <v>0</v>
      </c>
    </row>
    <row r="13" spans="1:6" x14ac:dyDescent="0.25">
      <c r="A13" t="s">
        <v>106</v>
      </c>
      <c r="B13" t="s">
        <v>107</v>
      </c>
      <c r="C13" s="11">
        <v>138</v>
      </c>
      <c r="D13" s="8">
        <v>0.76</v>
      </c>
      <c r="E13" s="11">
        <v>0</v>
      </c>
      <c r="F13" s="11">
        <v>0</v>
      </c>
    </row>
    <row r="14" spans="1:6" x14ac:dyDescent="0.25">
      <c r="A14" t="s">
        <v>106</v>
      </c>
      <c r="B14" t="s">
        <v>107</v>
      </c>
      <c r="C14" s="11">
        <v>138</v>
      </c>
      <c r="D14" s="8">
        <v>0.76</v>
      </c>
      <c r="E14" s="11">
        <v>0</v>
      </c>
      <c r="F14" s="11">
        <v>0</v>
      </c>
    </row>
    <row r="15" spans="1:6" x14ac:dyDescent="0.25">
      <c r="A15" t="s">
        <v>106</v>
      </c>
      <c r="B15" t="s">
        <v>107</v>
      </c>
      <c r="C15" s="11">
        <v>138</v>
      </c>
      <c r="D15" s="8">
        <v>0.76</v>
      </c>
      <c r="E15" s="11">
        <v>0</v>
      </c>
      <c r="F15" s="11">
        <v>0</v>
      </c>
    </row>
    <row r="16" spans="1:6" x14ac:dyDescent="0.25">
      <c r="A16" t="s">
        <v>106</v>
      </c>
      <c r="B16" t="s">
        <v>107</v>
      </c>
      <c r="C16" s="11">
        <v>138</v>
      </c>
      <c r="D16" s="8">
        <v>0.76</v>
      </c>
      <c r="E16" s="11">
        <v>0</v>
      </c>
      <c r="F16" s="11">
        <v>0</v>
      </c>
    </row>
    <row r="17" spans="1:6" x14ac:dyDescent="0.25">
      <c r="A17" t="s">
        <v>106</v>
      </c>
      <c r="B17" t="s">
        <v>107</v>
      </c>
      <c r="C17" s="11">
        <v>138</v>
      </c>
      <c r="D17" s="8">
        <v>0.76</v>
      </c>
      <c r="E17" s="11">
        <v>0</v>
      </c>
      <c r="F17" s="11">
        <v>0</v>
      </c>
    </row>
    <row r="18" spans="1:6" x14ac:dyDescent="0.25">
      <c r="A18" t="s">
        <v>106</v>
      </c>
      <c r="B18" t="s">
        <v>107</v>
      </c>
      <c r="C18" s="11">
        <v>138</v>
      </c>
      <c r="D18" s="8">
        <v>0.76</v>
      </c>
      <c r="E18" s="11">
        <v>0</v>
      </c>
      <c r="F18" s="11">
        <v>0</v>
      </c>
    </row>
    <row r="19" spans="1:6" x14ac:dyDescent="0.25">
      <c r="A19" t="s">
        <v>106</v>
      </c>
      <c r="B19" t="s">
        <v>107</v>
      </c>
      <c r="C19" s="11">
        <v>138</v>
      </c>
      <c r="D19" s="8">
        <v>0.76</v>
      </c>
      <c r="E19" s="11">
        <v>0</v>
      </c>
      <c r="F19" s="11">
        <v>0</v>
      </c>
    </row>
    <row r="20" spans="1:6" x14ac:dyDescent="0.25">
      <c r="A20" t="s">
        <v>106</v>
      </c>
      <c r="B20" t="s">
        <v>107</v>
      </c>
      <c r="C20" s="11">
        <v>138</v>
      </c>
      <c r="D20" s="8">
        <v>0.76</v>
      </c>
      <c r="E20" s="11">
        <v>0</v>
      </c>
      <c r="F20" s="11">
        <v>0</v>
      </c>
    </row>
    <row r="21" spans="1:6" x14ac:dyDescent="0.25">
      <c r="A21" t="s">
        <v>106</v>
      </c>
      <c r="B21" t="s">
        <v>107</v>
      </c>
      <c r="C21" s="11">
        <v>138</v>
      </c>
      <c r="D21" s="8">
        <v>0.76</v>
      </c>
      <c r="E21" s="11">
        <v>0</v>
      </c>
      <c r="F21" s="11">
        <v>0</v>
      </c>
    </row>
    <row r="22" spans="1:6" x14ac:dyDescent="0.25">
      <c r="A22" t="s">
        <v>106</v>
      </c>
      <c r="B22" t="s">
        <v>107</v>
      </c>
      <c r="C22" s="11">
        <v>138</v>
      </c>
      <c r="D22" s="8">
        <v>0.76</v>
      </c>
      <c r="E22" s="11">
        <v>0</v>
      </c>
      <c r="F22" s="11">
        <v>0</v>
      </c>
    </row>
    <row r="23" spans="1:6" x14ac:dyDescent="0.25">
      <c r="A23" t="s">
        <v>106</v>
      </c>
      <c r="B23" t="s">
        <v>107</v>
      </c>
      <c r="C23" s="11">
        <v>138</v>
      </c>
      <c r="D23" s="8">
        <v>0.76</v>
      </c>
      <c r="E23" s="11">
        <v>0</v>
      </c>
      <c r="F23" s="11">
        <v>0</v>
      </c>
    </row>
    <row r="24" spans="1:6" x14ac:dyDescent="0.25">
      <c r="A24" t="s">
        <v>106</v>
      </c>
      <c r="B24" t="s">
        <v>107</v>
      </c>
      <c r="C24" s="11">
        <v>138</v>
      </c>
      <c r="D24" s="8">
        <v>0.76</v>
      </c>
      <c r="E24" s="11">
        <v>0</v>
      </c>
      <c r="F24" s="11">
        <v>0</v>
      </c>
    </row>
    <row r="25" spans="1:6" x14ac:dyDescent="0.25">
      <c r="A25" t="s">
        <v>106</v>
      </c>
      <c r="B25" t="s">
        <v>107</v>
      </c>
      <c r="C25" s="11">
        <v>138</v>
      </c>
      <c r="D25" s="8">
        <v>0.76</v>
      </c>
      <c r="E25" s="11">
        <v>0</v>
      </c>
      <c r="F25" s="11">
        <v>0</v>
      </c>
    </row>
    <row r="26" spans="1:6" x14ac:dyDescent="0.25">
      <c r="A26" t="s">
        <v>106</v>
      </c>
      <c r="B26" t="s">
        <v>107</v>
      </c>
      <c r="C26" s="11">
        <v>138</v>
      </c>
      <c r="D26" s="8">
        <v>0.76</v>
      </c>
      <c r="E26" s="11">
        <v>0</v>
      </c>
      <c r="F26" s="11">
        <v>0</v>
      </c>
    </row>
    <row r="27" spans="1:6" x14ac:dyDescent="0.25">
      <c r="A27" t="s">
        <v>106</v>
      </c>
      <c r="B27" t="s">
        <v>107</v>
      </c>
      <c r="C27" s="11">
        <v>138</v>
      </c>
      <c r="D27" s="8">
        <v>0.76</v>
      </c>
      <c r="E27" s="11">
        <v>0</v>
      </c>
      <c r="F27" s="11">
        <v>0</v>
      </c>
    </row>
    <row r="28" spans="1:6" x14ac:dyDescent="0.25">
      <c r="A28" t="s">
        <v>106</v>
      </c>
      <c r="B28" t="s">
        <v>107</v>
      </c>
      <c r="C28" s="11">
        <v>138</v>
      </c>
      <c r="D28" s="8">
        <v>0.76</v>
      </c>
      <c r="E28" s="11">
        <v>0</v>
      </c>
      <c r="F28" s="11">
        <v>0</v>
      </c>
    </row>
    <row r="29" spans="1:6" x14ac:dyDescent="0.25">
      <c r="A29" t="s">
        <v>106</v>
      </c>
      <c r="B29" t="s">
        <v>107</v>
      </c>
      <c r="C29" s="11">
        <v>138</v>
      </c>
      <c r="D29" s="8">
        <v>0.76</v>
      </c>
      <c r="E29" s="11">
        <v>0</v>
      </c>
      <c r="F29" s="11">
        <v>0</v>
      </c>
    </row>
    <row r="30" spans="1:6" x14ac:dyDescent="0.25">
      <c r="A30" t="s">
        <v>106</v>
      </c>
      <c r="B30" t="s">
        <v>107</v>
      </c>
      <c r="C30" s="11">
        <v>138</v>
      </c>
      <c r="D30" s="8">
        <v>0.76</v>
      </c>
      <c r="E30" s="11">
        <v>0</v>
      </c>
      <c r="F30" s="11">
        <v>0</v>
      </c>
    </row>
    <row r="31" spans="1:6" x14ac:dyDescent="0.25">
      <c r="A31" t="s">
        <v>106</v>
      </c>
      <c r="B31" t="s">
        <v>107</v>
      </c>
      <c r="C31" s="11">
        <v>138</v>
      </c>
      <c r="D31" s="8">
        <v>0.76</v>
      </c>
      <c r="E31" s="11">
        <v>0</v>
      </c>
      <c r="F31" s="11">
        <v>0</v>
      </c>
    </row>
    <row r="32" spans="1:6" x14ac:dyDescent="0.25">
      <c r="A32" t="s">
        <v>106</v>
      </c>
      <c r="B32" t="s">
        <v>107</v>
      </c>
      <c r="C32" s="11">
        <v>138</v>
      </c>
      <c r="D32" s="8">
        <v>0.76</v>
      </c>
      <c r="E32" s="11">
        <v>0</v>
      </c>
      <c r="F32" s="11">
        <v>0</v>
      </c>
    </row>
    <row r="33" spans="1:6" x14ac:dyDescent="0.25">
      <c r="A33" t="s">
        <v>106</v>
      </c>
      <c r="B33" t="s">
        <v>107</v>
      </c>
      <c r="C33" s="11">
        <v>138</v>
      </c>
      <c r="D33" s="8">
        <v>0.76</v>
      </c>
      <c r="E33" s="11">
        <v>0</v>
      </c>
      <c r="F33" s="11">
        <v>0</v>
      </c>
    </row>
    <row r="34" spans="1:6" x14ac:dyDescent="0.25">
      <c r="A34" t="s">
        <v>106</v>
      </c>
      <c r="B34" t="s">
        <v>107</v>
      </c>
      <c r="C34" s="11">
        <v>138</v>
      </c>
      <c r="D34" s="8">
        <v>0.76</v>
      </c>
      <c r="E34" s="11">
        <v>0</v>
      </c>
      <c r="F34" s="11">
        <v>0</v>
      </c>
    </row>
    <row r="35" spans="1:6" x14ac:dyDescent="0.25">
      <c r="A35" t="s">
        <v>106</v>
      </c>
      <c r="B35" t="s">
        <v>107</v>
      </c>
      <c r="C35" s="11">
        <v>138</v>
      </c>
      <c r="D35" s="8">
        <v>0.76</v>
      </c>
      <c r="E35" s="11">
        <v>0</v>
      </c>
      <c r="F35" s="11">
        <v>0</v>
      </c>
    </row>
    <row r="36" spans="1:6" x14ac:dyDescent="0.25">
      <c r="A36" t="s">
        <v>106</v>
      </c>
      <c r="B36" t="s">
        <v>107</v>
      </c>
      <c r="C36" s="11">
        <v>138</v>
      </c>
      <c r="D36" s="8">
        <v>0.76</v>
      </c>
      <c r="E36" s="11">
        <v>0</v>
      </c>
      <c r="F36" s="11">
        <v>0</v>
      </c>
    </row>
    <row r="37" spans="1:6" x14ac:dyDescent="0.25">
      <c r="A37" t="s">
        <v>106</v>
      </c>
      <c r="B37" t="s">
        <v>107</v>
      </c>
      <c r="C37" s="11">
        <v>138</v>
      </c>
      <c r="D37" s="8">
        <v>0.76</v>
      </c>
      <c r="E37" s="11">
        <v>0</v>
      </c>
      <c r="F37" s="11">
        <v>0</v>
      </c>
    </row>
    <row r="38" spans="1:6" x14ac:dyDescent="0.25">
      <c r="A38" t="s">
        <v>108</v>
      </c>
      <c r="B38" t="s">
        <v>107</v>
      </c>
      <c r="C38" s="11">
        <v>172</v>
      </c>
      <c r="D38" s="8">
        <v>0.76</v>
      </c>
      <c r="E38" s="11">
        <v>0</v>
      </c>
      <c r="F38" s="11">
        <v>0</v>
      </c>
    </row>
    <row r="39" spans="1:6" x14ac:dyDescent="0.25">
      <c r="A39" t="s">
        <v>108</v>
      </c>
      <c r="B39" t="s">
        <v>107</v>
      </c>
      <c r="C39" s="11">
        <v>172</v>
      </c>
      <c r="D39" s="8">
        <v>0.76</v>
      </c>
      <c r="E39" s="11">
        <v>0</v>
      </c>
      <c r="F39" s="11">
        <v>0</v>
      </c>
    </row>
    <row r="40" spans="1:6" x14ac:dyDescent="0.25">
      <c r="A40" t="s">
        <v>108</v>
      </c>
      <c r="B40" t="s">
        <v>107</v>
      </c>
      <c r="C40" s="11">
        <v>172</v>
      </c>
      <c r="D40" s="8">
        <v>0.76</v>
      </c>
      <c r="E40" s="11">
        <v>0</v>
      </c>
      <c r="F40" s="11">
        <v>0</v>
      </c>
    </row>
    <row r="41" spans="1:6" x14ac:dyDescent="0.25">
      <c r="A41" t="s">
        <v>108</v>
      </c>
      <c r="B41" t="s">
        <v>107</v>
      </c>
      <c r="C41" s="11">
        <v>172</v>
      </c>
      <c r="D41" s="8">
        <v>0.76</v>
      </c>
      <c r="E41" s="11">
        <v>0</v>
      </c>
      <c r="F41" s="11">
        <v>0</v>
      </c>
    </row>
    <row r="42" spans="1:6" x14ac:dyDescent="0.25">
      <c r="A42" t="s">
        <v>108</v>
      </c>
      <c r="B42" t="s">
        <v>107</v>
      </c>
      <c r="C42" s="11">
        <v>172</v>
      </c>
      <c r="D42" s="8">
        <v>0.76</v>
      </c>
      <c r="E42" s="11">
        <v>0</v>
      </c>
      <c r="F42" s="11">
        <v>0</v>
      </c>
    </row>
    <row r="43" spans="1:6" x14ac:dyDescent="0.25">
      <c r="A43" t="s">
        <v>108</v>
      </c>
      <c r="B43" t="s">
        <v>107</v>
      </c>
      <c r="C43" s="11">
        <v>172</v>
      </c>
      <c r="D43" s="8">
        <v>0.76</v>
      </c>
      <c r="E43" s="11">
        <v>0</v>
      </c>
      <c r="F43" s="11">
        <v>0</v>
      </c>
    </row>
    <row r="44" spans="1:6" x14ac:dyDescent="0.25">
      <c r="A44" t="s">
        <v>108</v>
      </c>
      <c r="B44" t="s">
        <v>107</v>
      </c>
      <c r="C44" s="11">
        <v>172</v>
      </c>
      <c r="D44" s="8">
        <v>0.76</v>
      </c>
      <c r="E44" s="11">
        <v>0</v>
      </c>
      <c r="F44" s="11">
        <v>0</v>
      </c>
    </row>
    <row r="45" spans="1:6" x14ac:dyDescent="0.25">
      <c r="A45" t="s">
        <v>108</v>
      </c>
      <c r="B45" t="s">
        <v>107</v>
      </c>
      <c r="C45" s="11">
        <v>172</v>
      </c>
      <c r="D45" s="8">
        <v>0.76</v>
      </c>
      <c r="E45" s="11">
        <v>0</v>
      </c>
      <c r="F45" s="11">
        <v>0</v>
      </c>
    </row>
    <row r="46" spans="1:6" x14ac:dyDescent="0.25">
      <c r="A46" t="s">
        <v>108</v>
      </c>
      <c r="B46" t="s">
        <v>107</v>
      </c>
      <c r="C46" s="11">
        <v>172</v>
      </c>
      <c r="D46" s="8">
        <v>0.76</v>
      </c>
      <c r="E46" s="11">
        <v>0</v>
      </c>
      <c r="F46" s="11">
        <v>0</v>
      </c>
    </row>
    <row r="47" spans="1:6" x14ac:dyDescent="0.25">
      <c r="A47" t="s">
        <v>108</v>
      </c>
      <c r="B47" t="s">
        <v>107</v>
      </c>
      <c r="C47" s="11">
        <v>172</v>
      </c>
      <c r="D47" s="8">
        <v>0.76</v>
      </c>
      <c r="E47" s="11">
        <v>0</v>
      </c>
      <c r="F47" s="11">
        <v>0</v>
      </c>
    </row>
    <row r="49" spans="1:2" x14ac:dyDescent="0.25">
      <c r="A49" t="s">
        <v>109</v>
      </c>
      <c r="B49" s="4">
        <f>COUNTIF(B2:B47,"STR")</f>
        <v>46</v>
      </c>
    </row>
    <row r="50" spans="1:2" x14ac:dyDescent="0.25">
      <c r="A50" t="s">
        <v>110</v>
      </c>
      <c r="B50" s="5">
        <f>SUMPRODUCT(C2:C47,D2:D47,--(B2:B47="STR"))/SUMPRODUCT(D2:D47,--(B2:B47="STR"))</f>
        <v>145.3913043478261</v>
      </c>
    </row>
    <row r="51" spans="1:2" x14ac:dyDescent="0.25">
      <c r="A51" t="s">
        <v>111</v>
      </c>
      <c r="B51" s="5">
        <f>SUMPRODUCT(365*D2:D47/alos,E2:E47/(1+iva),--(B2:B47="STR"))</f>
        <v>0</v>
      </c>
    </row>
    <row r="52" spans="1:2" x14ac:dyDescent="0.25">
      <c r="A52" t="s">
        <v>112</v>
      </c>
      <c r="B52" s="5">
        <f>SUMPRODUCT(F2:F47,--(B2:B47&lt;&gt;"STR"),--(B2:B47&lt;&gt;"MTR"))*12</f>
        <v>0</v>
      </c>
    </row>
    <row r="53" spans="1:2" x14ac:dyDescent="0.25">
      <c r="A53" t="s">
        <v>113</v>
      </c>
      <c r="B53" s="4">
        <f>COUNTIF(B2:B47,"MTR")</f>
        <v>0</v>
      </c>
    </row>
    <row r="54" spans="1:2" x14ac:dyDescent="0.25">
      <c r="A54" t="s">
        <v>114</v>
      </c>
      <c r="B54" s="4">
        <f>unit_n+mtr_n</f>
        <v>46</v>
      </c>
    </row>
    <row r="55" spans="1:2" x14ac:dyDescent="0.25">
      <c r="A55" t="s">
        <v>115</v>
      </c>
      <c r="B55" s="5">
        <f>SUMPRODUCT(F2:F47,--(B2:B47="MTR"))*12</f>
        <v>0</v>
      </c>
    </row>
    <row r="56" spans="1:2" x14ac:dyDescent="0.25">
      <c r="A56" t="s">
        <v>116</v>
      </c>
      <c r="B56" s="12">
        <f>SUMPRODUCT(D2:D47,--(B2:B47="STR"))*365/alos</f>
        <v>5104.160000000001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7800000</v>
      </c>
    </row>
    <row r="3" spans="1:2" x14ac:dyDescent="0.25">
      <c r="A3" t="s">
        <v>118</v>
      </c>
      <c r="B3" s="9">
        <v>46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110000</v>
      </c>
    </row>
    <row r="15" spans="1:2" x14ac:dyDescent="0.25">
      <c r="A15" t="s">
        <v>130</v>
      </c>
      <c r="B15" s="11">
        <v>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7434.782608695652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48000</v>
      </c>
    </row>
    <row r="20" spans="1:2" x14ac:dyDescent="0.25">
      <c r="A20" t="s">
        <v>135</v>
      </c>
      <c r="B20" s="11">
        <v>52000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808200</v>
      </c>
    </row>
    <row r="24" spans="1:2" x14ac:dyDescent="0.25">
      <c r="A24" t="s">
        <v>138</v>
      </c>
      <c r="B24" s="5">
        <f>(reno_u*(units_c-1)+appl_u*units_c+common_f+deep_f)*(1+conting_pct)</f>
        <v>202000</v>
      </c>
    </row>
    <row r="25" spans="1:2" x14ac:dyDescent="0.25">
      <c r="A25" t="s">
        <v>139</v>
      </c>
      <c r="B25" s="5">
        <f>(ffe_u+itl_u)*units_c</f>
        <v>406400</v>
      </c>
    </row>
    <row r="26" spans="1:2" x14ac:dyDescent="0.25">
      <c r="A26" t="s">
        <v>140</v>
      </c>
      <c r="B26" s="5">
        <f>permits_f+arch_f</f>
        <v>100000</v>
      </c>
    </row>
    <row r="27" spans="1:2" x14ac:dyDescent="0.25">
      <c r="A27" t="s">
        <v>141</v>
      </c>
      <c r="B27" s="5">
        <f>price+B23+B24+B25+B26</f>
        <v>9316600</v>
      </c>
    </row>
    <row r="28" spans="1:2" x14ac:dyDescent="0.25">
      <c r="A28" t="s">
        <v>142</v>
      </c>
      <c r="B28" s="5">
        <f>gp_fee_pct*cost_base/(1-gp_fee_pct)</f>
        <v>190134.69387755104</v>
      </c>
    </row>
    <row r="29" spans="1:2" x14ac:dyDescent="0.25">
      <c r="A29" s="3" t="s">
        <v>143</v>
      </c>
      <c r="B29" s="5">
        <f>cost_base+B28</f>
        <v>9506734.693877552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42420</v>
      </c>
    </row>
    <row r="33" spans="1:2" x14ac:dyDescent="0.25">
      <c r="A33" t="s">
        <v>147</v>
      </c>
      <c r="B33" s="5">
        <f>vat_ffe*B25</f>
        <v>85344</v>
      </c>
    </row>
    <row r="34" spans="1:2" x14ac:dyDescent="0.25">
      <c r="A34" t="s">
        <v>148</v>
      </c>
      <c r="B34" s="5">
        <f>vat_soft*B26</f>
        <v>21000</v>
      </c>
    </row>
    <row r="35" spans="1:2" x14ac:dyDescent="0.25">
      <c r="A35" t="s">
        <v>149</v>
      </c>
      <c r="B35" s="5">
        <f>vat_fees*(B23-ajd_pct*price-itp_pct*price)</f>
        <v>59157</v>
      </c>
    </row>
    <row r="36" spans="1:2" x14ac:dyDescent="0.25">
      <c r="A36" s="3" t="s">
        <v>150</v>
      </c>
      <c r="B36" s="5">
        <f>SUM(B31:B35)</f>
        <v>207921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12" width="12" customWidth="1"/>
  </cols>
  <sheetData>
    <row r="1" spans="1:1" x14ac:dyDescent="0.25">
      <c r="A1" s="2" t="s">
        <v>151</v>
      </c>
    </row>
    <row r="2" spans="3:12" x14ac:dyDescent="0.25">
      <c r="C2" s="3" t="s">
        <v>152</v>
      </c>
      <c r="D2" s="3" t="s">
        <v>153</v>
      </c>
      <c r="E2" s="3" t="s">
        <v>154</v>
      </c>
      <c r="F2" s="3" t="s">
        <v>155</v>
      </c>
      <c r="G2" s="3" t="s">
        <v>156</v>
      </c>
      <c r="H2" s="3" t="s">
        <v>157</v>
      </c>
      <c r="I2" s="3" t="s">
        <v>158</v>
      </c>
      <c r="J2" s="3" t="s">
        <v>159</v>
      </c>
      <c r="K2" s="3" t="s">
        <v>160</v>
      </c>
      <c r="L2" s="3" t="s">
        <v>161</v>
      </c>
    </row>
    <row r="3" spans="1:12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  <c r="G3" s="6">
        <f>occ_stab</f>
        <v>0.82</v>
      </c>
      <c r="H3" s="6">
        <f>occ_stab</f>
        <v>0.82</v>
      </c>
      <c r="I3" s="6">
        <f>occ_stab</f>
        <v>0.82</v>
      </c>
      <c r="J3" s="6">
        <f>occ_stab</f>
        <v>0.82</v>
      </c>
      <c r="K3" s="6">
        <f>occ_stab</f>
        <v>0.82</v>
      </c>
      <c r="L3" s="6">
        <f>occ_stab</f>
        <v>0.82</v>
      </c>
    </row>
    <row r="4" spans="1:12" x14ac:dyDescent="0.25">
      <c r="A4" t="s">
        <v>162</v>
      </c>
      <c r="C4" s="5">
        <f>blended_incl/(1+iva)*adr_y1f</f>
        <v>125.56521739130433</v>
      </c>
      <c r="D4" s="5">
        <f>blended_incl/(1+iva)</f>
        <v>132.17391304347825</v>
      </c>
      <c r="E4" s="5">
        <f>D4*(1+adr_infl)</f>
        <v>134.8173913043478</v>
      </c>
      <c r="F4" s="5">
        <f>E4*(1+adr_infl)</f>
        <v>137.51373913043477</v>
      </c>
      <c r="G4" s="5">
        <f>F4*(1+adr_infl)</f>
        <v>140.26401391304347</v>
      </c>
      <c r="H4" s="5">
        <f>G4*(1+adr_infl)</f>
        <v>143.06929419130435</v>
      </c>
      <c r="I4" s="5">
        <f>H4*(1+adr_infl)</f>
        <v>145.93068007513045</v>
      </c>
      <c r="J4" s="5">
        <f>I4*(1+adr_infl)</f>
        <v>148.84929367663307</v>
      </c>
      <c r="K4" s="5">
        <f>J4*(1+adr_infl)</f>
        <v>151.82627955016574</v>
      </c>
      <c r="L4" s="5">
        <f>K4*(1+adr_infl)</f>
        <v>154.86280514116905</v>
      </c>
    </row>
    <row r="5" spans="1:12" x14ac:dyDescent="0.25">
      <c r="A5" t="s">
        <v>163</v>
      </c>
      <c r="C5" s="5">
        <f>C3*365*C4*unit_n</f>
        <v>1602262.3999999997</v>
      </c>
      <c r="D5" s="5">
        <f>D3*365*D4*unit_n</f>
        <v>1753168.0000000002</v>
      </c>
      <c r="E5" s="5">
        <f>E3*365*E4*unit_n</f>
        <v>1856138.8799999997</v>
      </c>
      <c r="F5" s="5">
        <f>F3*365*F4*unit_n</f>
        <v>1893261.6575999996</v>
      </c>
      <c r="G5" s="5">
        <f>G3*365*G4*unit_n</f>
        <v>1931126.8907519996</v>
      </c>
      <c r="H5" s="5">
        <f>H3*365*H4*unit_n</f>
        <v>1969749.4285670395</v>
      </c>
      <c r="I5" s="5">
        <f>I3*365*I4*unit_n</f>
        <v>2009144.4171383807</v>
      </c>
      <c r="J5" s="5">
        <f>J3*365*J4*unit_n</f>
        <v>2049327.3054811484</v>
      </c>
      <c r="K5" s="5">
        <f>K3*365*K4*unit_n</f>
        <v>2090313.8515907717</v>
      </c>
      <c r="L5" s="5">
        <f>L3*365*L4*unit_n</f>
        <v>2132120.128622587</v>
      </c>
    </row>
    <row r="6" spans="1:12" x14ac:dyDescent="0.25">
      <c r="A6" t="s">
        <v>164</v>
      </c>
      <c r="C6" s="5">
        <f>clean_base*C3/occ_stab</f>
        <v>0</v>
      </c>
      <c r="D6" s="5">
        <f>clean_base*D3/occ_stab</f>
        <v>0</v>
      </c>
      <c r="E6" s="5">
        <f>clean_base*E3/occ_stab</f>
        <v>0</v>
      </c>
      <c r="F6" s="5">
        <f>clean_base*F3/occ_stab</f>
        <v>0</v>
      </c>
      <c r="G6" s="5">
        <f>clean_base*G3/occ_stab</f>
        <v>0</v>
      </c>
      <c r="H6" s="5">
        <f>clean_base*H3/occ_stab</f>
        <v>0</v>
      </c>
      <c r="I6" s="5">
        <f>clean_base*I3/occ_stab</f>
        <v>0</v>
      </c>
      <c r="J6" s="5">
        <f>clean_base*J3/occ_stab</f>
        <v>0</v>
      </c>
      <c r="K6" s="5">
        <f>clean_base*K3/occ_stab</f>
        <v>0</v>
      </c>
      <c r="L6" s="5">
        <f>clean_base*L3/occ_stab</f>
        <v>0</v>
      </c>
    </row>
    <row r="7" spans="1:12" x14ac:dyDescent="0.25">
      <c r="A7" t="s">
        <v>165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  <c r="G7" s="5">
        <f>mtr_rent_a*(1+mtr_rinfl)^MAX(0,5-2)</f>
        <v>0</v>
      </c>
      <c r="H7" s="5">
        <f>mtr_rent_a*(1+mtr_rinfl)^MAX(0,6-2)</f>
        <v>0</v>
      </c>
      <c r="I7" s="5">
        <f>mtr_rent_a*(1+mtr_rinfl)^MAX(0,7-2)</f>
        <v>0</v>
      </c>
      <c r="J7" s="5">
        <f>mtr_rent_a*(1+mtr_rinfl)^MAX(0,8-2)</f>
        <v>0</v>
      </c>
      <c r="K7" s="5">
        <f>mtr_rent_a*(1+mtr_rinfl)^MAX(0,9-2)</f>
        <v>0</v>
      </c>
      <c r="L7" s="5">
        <f>mtr_rent_a*(1+mtr_rinfl)^MAX(0,10-2)</f>
        <v>0</v>
      </c>
    </row>
    <row r="8" spans="1:12" x14ac:dyDescent="0.25">
      <c r="A8" t="s">
        <v>166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  <c r="G8" s="5">
        <f>(anc_a+anc_units)*(1+cost_infl)^MAX(0,5-2)</f>
        <v>0</v>
      </c>
      <c r="H8" s="5">
        <f>(anc_a+anc_units)*(1+cost_infl)^MAX(0,6-2)</f>
        <v>0</v>
      </c>
      <c r="I8" s="5">
        <f>(anc_a+anc_units)*(1+cost_infl)^MAX(0,7-2)</f>
        <v>0</v>
      </c>
      <c r="J8" s="5">
        <f>(anc_a+anc_units)*(1+cost_infl)^MAX(0,8-2)</f>
        <v>0</v>
      </c>
      <c r="K8" s="5">
        <f>(anc_a+anc_units)*(1+cost_infl)^MAX(0,9-2)</f>
        <v>0</v>
      </c>
      <c r="L8" s="5">
        <f>(anc_a+anc_units)*(1+cost_infl)^MAX(0,10-2)</f>
        <v>0</v>
      </c>
    </row>
    <row r="9" spans="1:12" x14ac:dyDescent="0.25">
      <c r="A9" s="3" t="s">
        <v>167</v>
      </c>
      <c r="C9" s="5">
        <f>C5+C6+C7+C8</f>
        <v>1602262.3999999997</v>
      </c>
      <c r="D9" s="5">
        <f>D5+D6+D7+D8</f>
        <v>1753168.0000000002</v>
      </c>
      <c r="E9" s="5">
        <f>E5+E6+E7+E8</f>
        <v>1856138.8799999997</v>
      </c>
      <c r="F9" s="5">
        <f>F5+F6+F7+F8</f>
        <v>1893261.6575999996</v>
      </c>
      <c r="G9" s="5">
        <f>G5+G6+G7+G8</f>
        <v>1931126.8907519996</v>
      </c>
      <c r="H9" s="5">
        <f>H5+H6+H7+H8</f>
        <v>1969749.4285670395</v>
      </c>
      <c r="I9" s="5">
        <f>I5+I6+I7+I8</f>
        <v>2009144.4171383807</v>
      </c>
      <c r="J9" s="5">
        <f>J5+J6+J7+J8</f>
        <v>2049327.3054811484</v>
      </c>
      <c r="K9" s="5">
        <f>K5+K6+K7+K8</f>
        <v>2090313.8515907717</v>
      </c>
      <c r="L9" s="5">
        <f>L5+L6+L7+L8</f>
        <v>2132120.128622587</v>
      </c>
    </row>
    <row r="10" spans="1:12" x14ac:dyDescent="0.25">
      <c r="A10" t="s">
        <v>168</v>
      </c>
      <c r="C10" s="5">
        <f>-(C5+C6)*comm_pct</f>
        <v>-272384.60799999995</v>
      </c>
      <c r="D10" s="5">
        <f>-(D5+D6)*comm_pct</f>
        <v>-298038.56000000006</v>
      </c>
      <c r="E10" s="5">
        <f>-(E5+E6)*comm_pct</f>
        <v>-315543.60959999997</v>
      </c>
      <c r="F10" s="5">
        <f>-(F5+F6)*comm_pct</f>
        <v>-321854.48179199995</v>
      </c>
      <c r="G10" s="5">
        <f>-(G5+G6)*comm_pct</f>
        <v>-328291.5714278399</v>
      </c>
      <c r="H10" s="5">
        <f>-(H5+H6)*comm_pct</f>
        <v>-334857.40285639674</v>
      </c>
      <c r="I10" s="5">
        <f>-(I5+I6)*comm_pct</f>
        <v>-341554.55091352476</v>
      </c>
      <c r="J10" s="5">
        <f>-(J5+J6)*comm_pct</f>
        <v>-348385.6419317953</v>
      </c>
      <c r="K10" s="5">
        <f>-(K5+K6)*comm_pct</f>
        <v>-355353.35477043124</v>
      </c>
      <c r="L10" s="5">
        <f>-(L5+L6)*comm_pct</f>
        <v>-362460.4218658398</v>
      </c>
    </row>
    <row r="11" spans="1:12" x14ac:dyDescent="0.25">
      <c r="A11" t="s">
        <v>169</v>
      </c>
      <c r="C11" s="5">
        <f>-turn_base*C3/occ_stab*hk_hours*hk_rate*C34</f>
        <v>-51446.1980487805</v>
      </c>
      <c r="D11" s="5">
        <f>-turn_base*D3/occ_stab*hk_hours*hk_rate*D34</f>
        <v>-54546.50840487807</v>
      </c>
      <c r="E11" s="5">
        <f>-turn_base*E3/occ_stab*hk_hours*hk_rate*E34</f>
        <v>-57750.25269600001</v>
      </c>
      <c r="F11" s="5">
        <f>-turn_base*F3/occ_stab*hk_hours*hk_rate*F34</f>
        <v>-58905.25774992002</v>
      </c>
      <c r="G11" s="5">
        <f>-turn_base*G3/occ_stab*hk_hours*hk_rate*G34</f>
        <v>-60083.36290491841</v>
      </c>
      <c r="H11" s="5">
        <f>-turn_base*H3/occ_stab*hk_hours*hk_rate*H34</f>
        <v>-61285.03016301678</v>
      </c>
      <c r="I11" s="5">
        <f>-turn_base*I3/occ_stab*hk_hours*hk_rate*I34</f>
        <v>-62510.73076627712</v>
      </c>
      <c r="J11" s="5">
        <f>-turn_base*J3/occ_stab*hk_hours*hk_rate*J34</f>
        <v>-63760.945381602665</v>
      </c>
      <c r="K11" s="5">
        <f>-turn_base*K3/occ_stab*hk_hours*hk_rate*K34</f>
        <v>-65036.16428923472</v>
      </c>
      <c r="L11" s="5">
        <f>-turn_base*L3/occ_stab*hk_hours*hk_rate*L34</f>
        <v>-66336.88757501941</v>
      </c>
    </row>
    <row r="12" spans="1:12" x14ac:dyDescent="0.25">
      <c r="A12" t="s">
        <v>170</v>
      </c>
      <c r="C12" s="5">
        <f>-turn_base*C3/occ_stab*linen_t*C34</f>
        <v>-23653.42439024391</v>
      </c>
      <c r="D12" s="5">
        <f>-turn_base*D3/occ_stab*linen_t*D34</f>
        <v>-25078.8544390244</v>
      </c>
      <c r="E12" s="5">
        <f>-turn_base*E3/occ_stab*linen_t*E34</f>
        <v>-26551.840320000003</v>
      </c>
      <c r="F12" s="5">
        <f>-turn_base*F3/occ_stab*linen_t*F34</f>
        <v>-27082.877126400006</v>
      </c>
      <c r="G12" s="5">
        <f>-turn_base*G3/occ_stab*linen_t*G34</f>
        <v>-27624.534668928</v>
      </c>
      <c r="H12" s="5">
        <f>-turn_base*H3/occ_stab*linen_t*H34</f>
        <v>-28177.025362306562</v>
      </c>
      <c r="I12" s="5">
        <f>-turn_base*I3/occ_stab*linen_t*I34</f>
        <v>-28740.565869552694</v>
      </c>
      <c r="J12" s="5">
        <f>-turn_base*J3/occ_stab*linen_t*J34</f>
        <v>-29315.377186943748</v>
      </c>
      <c r="K12" s="5">
        <f>-turn_base*K3/occ_stab*linen_t*K34</f>
        <v>-29901.684730682628</v>
      </c>
      <c r="L12" s="5">
        <f>-turn_base*L3/occ_stab*linen_t*L34</f>
        <v>-30499.71842529628</v>
      </c>
    </row>
    <row r="13" spans="1:12" x14ac:dyDescent="0.25">
      <c r="A13" t="s">
        <v>171</v>
      </c>
      <c r="C13" s="5">
        <f>-turn_base*C3/occ_stab*amen_t*C34</f>
        <v>-14192.054634146345</v>
      </c>
      <c r="D13" s="5">
        <f>-turn_base*D3/occ_stab*amen_t*D34</f>
        <v>-15047.31266341464</v>
      </c>
      <c r="E13" s="5">
        <f>-turn_base*E3/occ_stab*amen_t*E34</f>
        <v>-15931.104192000003</v>
      </c>
      <c r="F13" s="5">
        <f>-turn_base*F3/occ_stab*amen_t*F34</f>
        <v>-16249.726275840007</v>
      </c>
      <c r="G13" s="5">
        <f>-turn_base*G3/occ_stab*amen_t*G34</f>
        <v>-16574.7208013568</v>
      </c>
      <c r="H13" s="5">
        <f>-turn_base*H3/occ_stab*amen_t*H34</f>
        <v>-16906.21521738394</v>
      </c>
      <c r="I13" s="5">
        <f>-turn_base*I3/occ_stab*amen_t*I34</f>
        <v>-17244.33952173162</v>
      </c>
      <c r="J13" s="5">
        <f>-turn_base*J3/occ_stab*amen_t*J34</f>
        <v>-17589.22631216625</v>
      </c>
      <c r="K13" s="5">
        <f>-turn_base*K3/occ_stab*amen_t*K34</f>
        <v>-17941.010838409577</v>
      </c>
      <c r="L13" s="5">
        <f>-turn_base*L3/occ_stab*amen_t*L34</f>
        <v>-18299.83105517777</v>
      </c>
    </row>
    <row r="14" spans="1:12" x14ac:dyDescent="0.25">
      <c r="A14" s="3" t="s">
        <v>172</v>
      </c>
      <c r="C14" s="5">
        <f>C10+C11+C12+C13</f>
        <v>-361676.2850731707</v>
      </c>
      <c r="D14" s="5">
        <f>D10+D11+D12+D13</f>
        <v>-392711.2355073171</v>
      </c>
      <c r="E14" s="5">
        <f>E10+E11+E12+E13</f>
        <v>-415776.80680799996</v>
      </c>
      <c r="F14" s="5">
        <f>F10+F11+F12+F13</f>
        <v>-424092.34294416</v>
      </c>
      <c r="G14" s="5">
        <f>G10+G11+G12+G13</f>
        <v>-432574.18980304315</v>
      </c>
      <c r="H14" s="5">
        <f>H10+H11+H12+H13</f>
        <v>-441225.67359910405</v>
      </c>
      <c r="I14" s="5">
        <f>I10+I11+I12+I13</f>
        <v>-450050.1870710862</v>
      </c>
      <c r="J14" s="5">
        <f>J10+J11+J12+J13</f>
        <v>-459051.19081250794</v>
      </c>
      <c r="K14" s="5">
        <f>K10+K11+K12+K13</f>
        <v>-468232.21462875814</v>
      </c>
      <c r="L14" s="5">
        <f>L10+L11+L12+L13</f>
        <v>-477596.8589213333</v>
      </c>
    </row>
    <row r="15" spans="1:12" x14ac:dyDescent="0.25">
      <c r="A15" t="s">
        <v>173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  <c r="G15" s="5">
        <f>-admin_m*12*G34</f>
        <v>-2597.837184</v>
      </c>
      <c r="H15" s="5">
        <f>-admin_m*12*H34</f>
        <v>-2649.7939276800003</v>
      </c>
      <c r="I15" s="5">
        <f>-admin_m*12*I34</f>
        <v>-2702.7898062336003</v>
      </c>
      <c r="J15" s="5">
        <f>-admin_m*12*J34</f>
        <v>-2756.845602358272</v>
      </c>
      <c r="K15" s="5">
        <f>-admin_m*12*K34</f>
        <v>-2811.982514405438</v>
      </c>
      <c r="L15" s="5">
        <f>-admin_m*12*L34</f>
        <v>-2868.2221646935463</v>
      </c>
    </row>
    <row r="16" spans="1:12" x14ac:dyDescent="0.25">
      <c r="A16" t="s">
        <v>174</v>
      </c>
      <c r="C16" s="5">
        <f>-(unit_n*util_m+mtr_n*mtr_util_m+cost_unit_n*commu_m)*12*C34</f>
        <v>-75624</v>
      </c>
      <c r="D16" s="5">
        <f>-(unit_n*util_m+mtr_n*mtr_util_m+cost_unit_n*commu_m)*12*D34</f>
        <v>-77136.48</v>
      </c>
      <c r="E16" s="5">
        <f>-(unit_n*util_m+mtr_n*mtr_util_m+cost_unit_n*commu_m)*12*E34</f>
        <v>-78679.2096</v>
      </c>
      <c r="F16" s="5">
        <f>-(unit_n*util_m+mtr_n*mtr_util_m+cost_unit_n*commu_m)*12*F34</f>
        <v>-80252.79379200001</v>
      </c>
      <c r="G16" s="5">
        <f>-(unit_n*util_m+mtr_n*mtr_util_m+cost_unit_n*commu_m)*12*G34</f>
        <v>-81857.84966784</v>
      </c>
      <c r="H16" s="5">
        <f>-(unit_n*util_m+mtr_n*mtr_util_m+cost_unit_n*commu_m)*12*H34</f>
        <v>-83495.0066611968</v>
      </c>
      <c r="I16" s="5">
        <f>-(unit_n*util_m+mtr_n*mtr_util_m+cost_unit_n*commu_m)*12*I34</f>
        <v>-85164.90679442073</v>
      </c>
      <c r="J16" s="5">
        <f>-(unit_n*util_m+mtr_n*mtr_util_m+cost_unit_n*commu_m)*12*J34</f>
        <v>-86868.20493030915</v>
      </c>
      <c r="K16" s="5">
        <f>-(unit_n*util_m+mtr_n*mtr_util_m+cost_unit_n*commu_m)*12*K34</f>
        <v>-88605.56902891534</v>
      </c>
      <c r="L16" s="5">
        <f>-(unit_n*util_m+mtr_n*mtr_util_m+cost_unit_n*commu_m)*12*L34</f>
        <v>-90377.68040949365</v>
      </c>
    </row>
    <row r="17" spans="1:12" x14ac:dyDescent="0.25">
      <c r="A17" t="s">
        <v>175</v>
      </c>
      <c r="C17" s="5">
        <f>-C9*maint_pct</f>
        <v>-19227.148799999995</v>
      </c>
      <c r="D17" s="5">
        <f>-D9*maint_pct</f>
        <v>-21038.016000000003</v>
      </c>
      <c r="E17" s="5">
        <f>-E9*maint_pct</f>
        <v>-22273.666559999998</v>
      </c>
      <c r="F17" s="5">
        <f>-F9*maint_pct</f>
        <v>-22719.139891199997</v>
      </c>
      <c r="G17" s="5">
        <f>-G9*maint_pct</f>
        <v>-23173.522689023994</v>
      </c>
      <c r="H17" s="5">
        <f>-H9*maint_pct</f>
        <v>-23636.993142804477</v>
      </c>
      <c r="I17" s="5">
        <f>-I9*maint_pct</f>
        <v>-24109.733005660568</v>
      </c>
      <c r="J17" s="5">
        <f>-J9*maint_pct</f>
        <v>-24591.927665773783</v>
      </c>
      <c r="K17" s="5">
        <f>-K9*maint_pct</f>
        <v>-25083.766219089262</v>
      </c>
      <c r="L17" s="5">
        <f>-L9*maint_pct</f>
        <v>-25585.441543471043</v>
      </c>
    </row>
    <row r="18" spans="1:12" x14ac:dyDescent="0.25">
      <c r="A18" t="s">
        <v>176</v>
      </c>
      <c r="C18" s="5">
        <f>-cost_unit_n*12*it_m*C34</f>
        <v>-22080</v>
      </c>
      <c r="D18" s="5">
        <f>-cost_unit_n*12*it_m*D34</f>
        <v>-22521.600000000002</v>
      </c>
      <c r="E18" s="5">
        <f>-cost_unit_n*12*it_m*E34</f>
        <v>-22972.032</v>
      </c>
      <c r="F18" s="5">
        <f>-cost_unit_n*12*it_m*F34</f>
        <v>-23431.472640000004</v>
      </c>
      <c r="G18" s="5">
        <f>-cost_unit_n*12*it_m*G34</f>
        <v>-23900.1020928</v>
      </c>
      <c r="H18" s="5">
        <f>-cost_unit_n*12*it_m*H34</f>
        <v>-24378.104134656</v>
      </c>
      <c r="I18" s="5">
        <f>-cost_unit_n*12*it_m*I34</f>
        <v>-24865.66621734912</v>
      </c>
      <c r="J18" s="5">
        <f>-cost_unit_n*12*it_m*J34</f>
        <v>-25362.979541696102</v>
      </c>
      <c r="K18" s="5">
        <f>-cost_unit_n*12*it_m*K34</f>
        <v>-25870.239132530027</v>
      </c>
      <c r="L18" s="5">
        <f>-cost_unit_n*12*it_m*L34</f>
        <v>-26387.64391518063</v>
      </c>
    </row>
    <row r="19" spans="1:12" x14ac:dyDescent="0.25">
      <c r="A19" t="s">
        <v>177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  <c r="G19" s="5">
        <f>-15000*G34</f>
        <v>-16236.482399999999</v>
      </c>
      <c r="H19" s="5">
        <f>-15000*H34</f>
        <v>-16561.212048</v>
      </c>
      <c r="I19" s="5">
        <f>-15000*I34</f>
        <v>-16892.43628896</v>
      </c>
      <c r="J19" s="5">
        <f>-15000*J34</f>
        <v>-17230.285014739202</v>
      </c>
      <c r="K19" s="5">
        <f>-15000*K34</f>
        <v>-17574.890715033987</v>
      </c>
      <c r="L19" s="5">
        <f>-15000*L34</f>
        <v>-17926.388529334665</v>
      </c>
    </row>
    <row r="20" spans="1:12" x14ac:dyDescent="0.25">
      <c r="A20" t="s">
        <v>178</v>
      </c>
      <c r="C20" s="5">
        <f>-4*cost_unit_n*12*C34</f>
        <v>-2208</v>
      </c>
      <c r="D20" s="5">
        <f>-4*cost_unit_n*12*D34</f>
        <v>-2252.16</v>
      </c>
      <c r="E20" s="5">
        <f>-4*cost_unit_n*12*E34</f>
        <v>-2297.2032</v>
      </c>
      <c r="F20" s="5">
        <f>-4*cost_unit_n*12*F34</f>
        <v>-2343.147264</v>
      </c>
      <c r="G20" s="5">
        <f>-4*cost_unit_n*12*G34</f>
        <v>-2390.01020928</v>
      </c>
      <c r="H20" s="5">
        <f>-4*cost_unit_n*12*H34</f>
        <v>-2437.8104134656</v>
      </c>
      <c r="I20" s="5">
        <f>-4*cost_unit_n*12*I34</f>
        <v>-2486.566621734912</v>
      </c>
      <c r="J20" s="5">
        <f>-4*cost_unit_n*12*J34</f>
        <v>-2536.2979541696104</v>
      </c>
      <c r="K20" s="5">
        <f>-4*cost_unit_n*12*K34</f>
        <v>-2587.023913253003</v>
      </c>
      <c r="L20" s="5">
        <f>-4*cost_unit_n*12*L34</f>
        <v>-2638.764391518063</v>
      </c>
    </row>
    <row r="21" spans="1:12" x14ac:dyDescent="0.25">
      <c r="A21" s="3" t="s">
        <v>179</v>
      </c>
      <c r="C21" s="5">
        <f>C15+C16+C17+C18+C19+C20</f>
        <v>-136539.1488</v>
      </c>
      <c r="D21" s="5">
        <f>D15+D16+D17+D18+D19+D20</f>
        <v>-140696.256</v>
      </c>
      <c r="E21" s="5">
        <f>E15+E16+E17+E18+E19+E20</f>
        <v>-144325.07136</v>
      </c>
      <c r="F21" s="5">
        <f>F15+F16+F17+F18+F19+F20</f>
        <v>-147211.5727872</v>
      </c>
      <c r="G21" s="5">
        <f>G15+G16+G17+G18+G19+G20</f>
        <v>-150155.80424294397</v>
      </c>
      <c r="H21" s="5">
        <f>H15+H16+H17+H18+H19+H20</f>
        <v>-153158.9203278029</v>
      </c>
      <c r="I21" s="5">
        <f>I15+I16+I17+I18+I19+I20</f>
        <v>-156222.09873435897</v>
      </c>
      <c r="J21" s="5">
        <f>J15+J16+J17+J18+J19+J20</f>
        <v>-159346.54070904612</v>
      </c>
      <c r="K21" s="5">
        <f>K15+K16+K17+K18+K19+K20</f>
        <v>-162533.47152322705</v>
      </c>
      <c r="L21" s="5">
        <f>L15+L16+L17+L18+L19+L20</f>
        <v>-165784.14095369162</v>
      </c>
    </row>
    <row r="22" spans="1:12" x14ac:dyDescent="0.25">
      <c r="A22" s="3" t="s">
        <v>180</v>
      </c>
      <c r="C22" s="5">
        <f>C9+C14+C21</f>
        <v>1104046.9661268292</v>
      </c>
      <c r="D22" s="5">
        <f>D9+D14+D21</f>
        <v>1219760.508492683</v>
      </c>
      <c r="E22" s="5">
        <f>E9+E14+E21</f>
        <v>1296037.0018319995</v>
      </c>
      <c r="F22" s="5">
        <f>F9+F14+F21</f>
        <v>1321957.7418686398</v>
      </c>
      <c r="G22" s="5">
        <f>G9+G14+G21</f>
        <v>1348396.8967060125</v>
      </c>
      <c r="H22" s="5">
        <f>H9+H14+H21</f>
        <v>1375364.8346401327</v>
      </c>
      <c r="I22" s="5">
        <f>I9+I14+I21</f>
        <v>1402872.1313329358</v>
      </c>
      <c r="J22" s="5">
        <f>J9+J14+J21</f>
        <v>1430929.5739595944</v>
      </c>
      <c r="K22" s="5">
        <f>K9+K14+K21</f>
        <v>1459548.1654387861</v>
      </c>
      <c r="L22" s="5">
        <f>L9+L14+L21</f>
        <v>1488739.128747562</v>
      </c>
    </row>
    <row r="23" spans="1:12" x14ac:dyDescent="0.25">
      <c r="A23" t="s">
        <v>181</v>
      </c>
      <c r="C23" s="5">
        <f>-C9*mgmt_pct</f>
        <v>-248350.67199999993</v>
      </c>
      <c r="D23" s="5">
        <f>-D9*mgmt_pct</f>
        <v>-271741.04000000004</v>
      </c>
      <c r="E23" s="5">
        <f>-E9*mgmt_pct</f>
        <v>-287701.5264</v>
      </c>
      <c r="F23" s="5">
        <f>-F9*mgmt_pct</f>
        <v>-293455.55692799995</v>
      </c>
      <c r="G23" s="5">
        <f>-G9*mgmt_pct</f>
        <v>-299324.66806655994</v>
      </c>
      <c r="H23" s="5">
        <f>-H9*mgmt_pct</f>
        <v>-305311.1614278911</v>
      </c>
      <c r="I23" s="5">
        <f>-I9*mgmt_pct</f>
        <v>-311417.384656449</v>
      </c>
      <c r="J23" s="5">
        <f>-J9*mgmt_pct</f>
        <v>-317645.732349578</v>
      </c>
      <c r="K23" s="5">
        <f>-K9*mgmt_pct</f>
        <v>-323998.6469965696</v>
      </c>
      <c r="L23" s="5">
        <f>-L9*mgmt_pct</f>
        <v>-330478.61993650097</v>
      </c>
    </row>
    <row r="24" spans="1:12" x14ac:dyDescent="0.25">
      <c r="A24" s="3" t="s">
        <v>182</v>
      </c>
      <c r="C24" s="5">
        <f>C23</f>
        <v>-248350.67199999993</v>
      </c>
      <c r="D24" s="5">
        <f>D23</f>
        <v>-271741.04000000004</v>
      </c>
      <c r="E24" s="5">
        <f>E23</f>
        <v>-287701.5264</v>
      </c>
      <c r="F24" s="5">
        <f>F23</f>
        <v>-293455.55692799995</v>
      </c>
      <c r="G24" s="5">
        <f>G23</f>
        <v>-299324.66806655994</v>
      </c>
      <c r="H24" s="5">
        <f>H23</f>
        <v>-305311.1614278911</v>
      </c>
      <c r="I24" s="5">
        <f>I23</f>
        <v>-311417.384656449</v>
      </c>
      <c r="J24" s="5">
        <f>J23</f>
        <v>-317645.732349578</v>
      </c>
      <c r="K24" s="5">
        <f>K23</f>
        <v>-323998.6469965696</v>
      </c>
      <c r="L24" s="5">
        <f>L23</f>
        <v>-330478.61993650097</v>
      </c>
    </row>
    <row r="25" spans="1:12" x14ac:dyDescent="0.25">
      <c r="A25" s="3" t="s">
        <v>183</v>
      </c>
      <c r="C25" s="5">
        <f>C22+C24</f>
        <v>855696.2941268291</v>
      </c>
      <c r="D25" s="5">
        <f>D22+D24</f>
        <v>948019.468492683</v>
      </c>
      <c r="E25" s="5">
        <f>E22+E24</f>
        <v>1008335.4754319997</v>
      </c>
      <c r="F25" s="5">
        <f>F22+F24</f>
        <v>1028502.1849406398</v>
      </c>
      <c r="G25" s="5">
        <f>G22+G24</f>
        <v>1049072.2286394525</v>
      </c>
      <c r="H25" s="5">
        <f>H22+H24</f>
        <v>1070053.6732122416</v>
      </c>
      <c r="I25" s="5">
        <f>I22+I24</f>
        <v>1091454.7466764867</v>
      </c>
      <c r="J25" s="5">
        <f>J22+J24</f>
        <v>1113283.8416100163</v>
      </c>
      <c r="K25" s="5">
        <f>K22+K24</f>
        <v>1135549.5184422166</v>
      </c>
      <c r="L25" s="5">
        <f>L22+L24</f>
        <v>1158260.508811061</v>
      </c>
    </row>
    <row r="26" spans="1:12" x14ac:dyDescent="0.25">
      <c r="A26" t="s">
        <v>184</v>
      </c>
      <c r="C26" s="5">
        <f>-ibi_a*C34</f>
        <v>-19000</v>
      </c>
      <c r="D26" s="5">
        <f>-ibi_a*D34</f>
        <v>-19380</v>
      </c>
      <c r="E26" s="5">
        <f>-ibi_a*E34</f>
        <v>-19767.6</v>
      </c>
      <c r="F26" s="5">
        <f>-ibi_a*F34</f>
        <v>-20162.952</v>
      </c>
      <c r="G26" s="5">
        <f>-ibi_a*G34</f>
        <v>-20566.21104</v>
      </c>
      <c r="H26" s="5">
        <f>-ibi_a*H34</f>
        <v>-20977.5352608</v>
      </c>
      <c r="I26" s="5">
        <f>-ibi_a*I34</f>
        <v>-21397.085966016002</v>
      </c>
      <c r="J26" s="5">
        <f>-ibi_a*J34</f>
        <v>-21825.02768533632</v>
      </c>
      <c r="K26" s="5">
        <f>-ibi_a*K34</f>
        <v>-22261.528239043048</v>
      </c>
      <c r="L26" s="5">
        <f>-ibi_a*L34</f>
        <v>-22706.758803823912</v>
      </c>
    </row>
    <row r="27" spans="1:12" x14ac:dyDescent="0.25">
      <c r="A27" t="s">
        <v>185</v>
      </c>
      <c r="C27" s="5">
        <f>-cost_unit_n*12*ins_m*C34</f>
        <v>-8280</v>
      </c>
      <c r="D27" s="5">
        <f>-cost_unit_n*12*ins_m*D34</f>
        <v>-8445.6</v>
      </c>
      <c r="E27" s="5">
        <f>-cost_unit_n*12*ins_m*E34</f>
        <v>-8614.512</v>
      </c>
      <c r="F27" s="5">
        <f>-cost_unit_n*12*ins_m*F34</f>
        <v>-8786.80224</v>
      </c>
      <c r="G27" s="5">
        <f>-cost_unit_n*12*ins_m*G34</f>
        <v>-8962.538284799999</v>
      </c>
      <c r="H27" s="5">
        <f>-cost_unit_n*12*ins_m*H34</f>
        <v>-9141.789050496</v>
      </c>
      <c r="I27" s="5">
        <f>-cost_unit_n*12*ins_m*I34</f>
        <v>-9324.62483150592</v>
      </c>
      <c r="J27" s="5">
        <f>-cost_unit_n*12*ins_m*J34</f>
        <v>-9511.117328136039</v>
      </c>
      <c r="K27" s="5">
        <f>-cost_unit_n*12*ins_m*K34</f>
        <v>-9701.33967469876</v>
      </c>
      <c r="L27" s="5">
        <f>-cost_unit_n*12*ins_m*L34</f>
        <v>-9895.366468192735</v>
      </c>
    </row>
    <row r="28" spans="1:12" x14ac:dyDescent="0.25">
      <c r="A28" s="3" t="s">
        <v>186</v>
      </c>
      <c r="C28" s="5">
        <f>C26+C27</f>
        <v>-27280</v>
      </c>
      <c r="D28" s="5">
        <f>D26+D27</f>
        <v>-27825.6</v>
      </c>
      <c r="E28" s="5">
        <f>E26+E27</f>
        <v>-28382.112</v>
      </c>
      <c r="F28" s="5">
        <f>F26+F27</f>
        <v>-28949.754240000002</v>
      </c>
      <c r="G28" s="5">
        <f>G26+G27</f>
        <v>-29528.749324799996</v>
      </c>
      <c r="H28" s="5">
        <f>H26+H27</f>
        <v>-30119.324311295997</v>
      </c>
      <c r="I28" s="5">
        <f>I26+I27</f>
        <v>-30721.710797521922</v>
      </c>
      <c r="J28" s="5">
        <f>J26+J27</f>
        <v>-31336.14501347236</v>
      </c>
      <c r="K28" s="5">
        <f>K26+K27</f>
        <v>-31962.867913741808</v>
      </c>
      <c r="L28" s="5">
        <f>L26+L27</f>
        <v>-32602.125272016645</v>
      </c>
    </row>
    <row r="29" spans="1:12" x14ac:dyDescent="0.25">
      <c r="A29" s="3" t="s">
        <v>187</v>
      </c>
      <c r="C29" s="5">
        <f>C25+C28</f>
        <v>828416.2941268291</v>
      </c>
      <c r="D29" s="5">
        <f>D25+D28</f>
        <v>920193.868492683</v>
      </c>
      <c r="E29" s="5">
        <f>E25+E28</f>
        <v>979953.3634319997</v>
      </c>
      <c r="F29" s="5">
        <f>F25+F28</f>
        <v>999552.4307006397</v>
      </c>
      <c r="G29" s="5">
        <f>G25+G28</f>
        <v>1019543.4793146525</v>
      </c>
      <c r="H29" s="5">
        <f>H25+H28</f>
        <v>1039934.3489009456</v>
      </c>
      <c r="I29" s="5">
        <f>I25+I28</f>
        <v>1060733.0358789647</v>
      </c>
      <c r="J29" s="5">
        <f>J25+J28</f>
        <v>1081947.696596544</v>
      </c>
      <c r="K29" s="5">
        <f>K25+K28</f>
        <v>1103586.6505284747</v>
      </c>
      <c r="L29" s="5">
        <f>L25+L28</f>
        <v>1125658.3835390443</v>
      </c>
    </row>
    <row r="30" spans="1:12" x14ac:dyDescent="0.25">
      <c r="A30" t="s">
        <v>188</v>
      </c>
      <c r="C30" s="5">
        <f>-C9*ffe_pct</f>
        <v>-40056.56</v>
      </c>
      <c r="D30" s="5">
        <f>-D9*ffe_pct</f>
        <v>-43829.20000000001</v>
      </c>
      <c r="E30" s="5">
        <f>-E9*ffe_pct</f>
        <v>-46403.471999999994</v>
      </c>
      <c r="F30" s="5">
        <f>-F9*ffe_pct</f>
        <v>-47331.54143999999</v>
      </c>
      <c r="G30" s="5">
        <f>-G9*ffe_pct</f>
        <v>-48278.17226879999</v>
      </c>
      <c r="H30" s="5">
        <f>-H9*ffe_pct</f>
        <v>-49243.73571417599</v>
      </c>
      <c r="I30" s="5">
        <f>-I9*ffe_pct</f>
        <v>-50228.61042845952</v>
      </c>
      <c r="J30" s="5">
        <f>-J9*ffe_pct</f>
        <v>-51233.182637028716</v>
      </c>
      <c r="K30" s="5">
        <f>-K9*ffe_pct</f>
        <v>-52257.846289769295</v>
      </c>
      <c r="L30" s="5">
        <f>-L9*ffe_pct</f>
        <v>-53303.00321556468</v>
      </c>
    </row>
    <row r="31" spans="1:12" x14ac:dyDescent="0.25">
      <c r="A31" s="3" t="s">
        <v>189</v>
      </c>
      <c r="C31" s="5">
        <f>C29+C30</f>
        <v>788359.7341268291</v>
      </c>
      <c r="D31" s="5">
        <f>D29+D30</f>
        <v>876364.6684926831</v>
      </c>
      <c r="E31" s="5">
        <f>E29+E30</f>
        <v>933549.8914319997</v>
      </c>
      <c r="F31" s="5">
        <f>F29+F30</f>
        <v>952220.8892606398</v>
      </c>
      <c r="G31" s="5">
        <f>G29+G30</f>
        <v>971265.3070458524</v>
      </c>
      <c r="H31" s="5">
        <f>H29+H30</f>
        <v>990690.6131867697</v>
      </c>
      <c r="I31" s="5">
        <f>I29+I30</f>
        <v>1010504.4254505051</v>
      </c>
      <c r="J31" s="5">
        <f>J29+J30</f>
        <v>1030714.5139595154</v>
      </c>
      <c r="K31" s="5">
        <f>K29+K30</f>
        <v>1051328.8042387057</v>
      </c>
      <c r="L31" s="5">
        <f>L29+L30</f>
        <v>1072355.3803234797</v>
      </c>
    </row>
    <row r="33" spans="1:12" x14ac:dyDescent="0.25">
      <c r="A33" t="s">
        <v>190</v>
      </c>
      <c r="C33" s="5">
        <f>C5+C6+C10+C11+C12+C13</f>
        <v>1240586.114926829</v>
      </c>
      <c r="D33" s="5">
        <f>D5+D6+D10+D11+D12+D13</f>
        <v>1360456.764492683</v>
      </c>
      <c r="E33" s="5">
        <f>E5+E6+E10+E11+E12+E13</f>
        <v>1440362.0731919997</v>
      </c>
      <c r="F33" s="5">
        <f>F5+F6+F10+F11+F12+F13</f>
        <v>1469169.3146558397</v>
      </c>
      <c r="G33" s="5">
        <f>G5+G6+G10+G11+G12+G13</f>
        <v>1498552.7009489564</v>
      </c>
      <c r="H33" s="5">
        <f>H5+H6+H10+H11+H12+H13</f>
        <v>1528523.7549679356</v>
      </c>
      <c r="I33" s="5">
        <f>I5+I6+I10+I11+I12+I13</f>
        <v>1559094.2300672946</v>
      </c>
      <c r="J33" s="5">
        <f>J5+J6+J10+J11+J12+J13</f>
        <v>1590276.1146686405</v>
      </c>
      <c r="K33" s="5">
        <f>K5+K6+K10+K11+K12+K13</f>
        <v>1622081.6369620136</v>
      </c>
      <c r="L33" s="5">
        <f>L5+L6+L10+L11+L12+L13</f>
        <v>1654523.2697012536</v>
      </c>
    </row>
    <row r="34" spans="1:12" x14ac:dyDescent="0.25">
      <c r="A34" t="s">
        <v>191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  <c r="G34" s="13">
        <f>(1+cost_infl)^4</f>
        <v>1.08243216</v>
      </c>
      <c r="H34" s="13">
        <f>(1+cost_infl)^5</f>
        <v>1.1040808032</v>
      </c>
      <c r="I34" s="13">
        <f>(1+cost_infl)^6</f>
        <v>1.126162419264</v>
      </c>
      <c r="J34" s="13">
        <f>(1+cost_infl)^7</f>
        <v>1.14868566764928</v>
      </c>
      <c r="K34" s="13">
        <f>(1+cost_infl)^8</f>
        <v>1.1716593810022657</v>
      </c>
      <c r="L34" s="13">
        <f>(1+cost_infl)^9</f>
        <v>1.195092568622311</v>
      </c>
    </row>
    <row r="35" spans="1:12" x14ac:dyDescent="0.25">
      <c r="A35" t="s">
        <v>192</v>
      </c>
      <c r="C35" s="5">
        <f>C33+C15+C16+C17+C18+C23+C26+C27+C30+C8+C7</f>
        <v>805567.7341268291</v>
      </c>
      <c r="D35" s="5">
        <f>D33+D15+D16+D17+D18+D23+D26+D27+D30+D8+D7</f>
        <v>893916.8284926831</v>
      </c>
      <c r="E35" s="5">
        <f>E33+E15+E16+E17+E18+E23+E26+E27+E30+E8+E7</f>
        <v>951453.0946319997</v>
      </c>
      <c r="F35" s="5">
        <f>F33+F15+F16+F17+F18+F23+F26+F27+F30+F8+F7</f>
        <v>970482.1565246398</v>
      </c>
      <c r="G35" s="5">
        <f>G33+G15+G16+G17+G18+G23+G26+G27+G30+G8+G7</f>
        <v>989891.7996551325</v>
      </c>
      <c r="H35" s="5">
        <f>H33+H15+H16+H17+H18+H23+H26+H27+H30+H8+H7</f>
        <v>1009689.6356482352</v>
      </c>
      <c r="I35" s="5">
        <f>I33+I15+I16+I17+I18+I23+I26+I27+I30+I8+I7</f>
        <v>1029883.4283612</v>
      </c>
      <c r="J35" s="5">
        <f>J33+J15+J16+J17+J18+J23+J26+J27+J30+J8+J7</f>
        <v>1050481.0969284242</v>
      </c>
      <c r="K35" s="5">
        <f>K33+K15+K16+K17+K18+K23+K26+K27+K30+K8+K7</f>
        <v>1071490.7188669927</v>
      </c>
      <c r="L35" s="5">
        <f>L33+L15+L16+L17+L18+L23+L26+L27+L30+L8+L7</f>
        <v>1092920.5332443323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12" width="12" customWidth="1"/>
  </cols>
  <sheetData>
    <row r="1" spans="1:1" x14ac:dyDescent="0.25">
      <c r="A1" s="2" t="s">
        <v>193</v>
      </c>
    </row>
    <row r="3" spans="1:2" x14ac:dyDescent="0.25">
      <c r="A3" t="s">
        <v>13</v>
      </c>
      <c r="B3" s="5">
        <f>ltv*tpc</f>
        <v>5228704.081632654</v>
      </c>
    </row>
    <row r="4" spans="1:2" x14ac:dyDescent="0.25">
      <c r="A4" t="s">
        <v>15</v>
      </c>
      <c r="B4" s="5">
        <f>apertura_pct*B3+ajdm_pct*B3+tasacion_u*units_c+notaria_pct*B3+registro_pct*B3+gestoria_f</f>
        <v>120238.43367346941</v>
      </c>
    </row>
    <row r="5" spans="1:2" x14ac:dyDescent="0.25">
      <c r="A5" t="s">
        <v>16</v>
      </c>
      <c r="B5" s="5">
        <f>tpc-B3+B4</f>
        <v>4398269.045918367</v>
      </c>
    </row>
    <row r="6" spans="1:2" x14ac:dyDescent="0.25">
      <c r="A6" t="s">
        <v>19</v>
      </c>
      <c r="B6" s="5">
        <f>B5*(1-gp_pct)</f>
        <v>3518615.236734694</v>
      </c>
    </row>
    <row r="7" spans="1:2" x14ac:dyDescent="0.25">
      <c r="A7" t="s">
        <v>20</v>
      </c>
      <c r="B7" s="5">
        <f>B5*gp_pct</f>
        <v>879653.8091836735</v>
      </c>
    </row>
    <row r="8" spans="1:2" x14ac:dyDescent="0.25">
      <c r="A8" t="s">
        <v>21</v>
      </c>
      <c r="B8" s="5">
        <f>-PMT(rate/12,term*12,B3)*12</f>
        <v>425797.4070592455</v>
      </c>
    </row>
    <row r="10" spans="3:12" x14ac:dyDescent="0.25"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  <c r="H10" s="3" t="s">
        <v>157</v>
      </c>
      <c r="I10" s="3" t="s">
        <v>158</v>
      </c>
      <c r="J10" s="3" t="s">
        <v>159</v>
      </c>
      <c r="K10" s="3" t="s">
        <v>160</v>
      </c>
      <c r="L10" s="3" t="s">
        <v>161</v>
      </c>
    </row>
    <row r="11" spans="1:12" x14ac:dyDescent="0.25">
      <c r="A11" t="s">
        <v>189</v>
      </c>
      <c r="C11" s="5">
        <f>'P&amp;L'!C31</f>
        <v>788359.7341268291</v>
      </c>
      <c r="D11" s="5">
        <f>'P&amp;L'!D31</f>
        <v>876364.6684926831</v>
      </c>
      <c r="E11" s="5">
        <f>'P&amp;L'!E31</f>
        <v>933549.8914319997</v>
      </c>
      <c r="F11" s="5">
        <f>'P&amp;L'!F31</f>
        <v>952220.8892606398</v>
      </c>
      <c r="G11" s="5">
        <f>'P&amp;L'!G31</f>
        <v>971265.3070458524</v>
      </c>
      <c r="H11" s="5">
        <f>'P&amp;L'!H31</f>
        <v>990690.6131867697</v>
      </c>
      <c r="I11" s="5">
        <f>'P&amp;L'!I31</f>
        <v>1010504.4254505051</v>
      </c>
      <c r="J11" s="5">
        <f>'P&amp;L'!J31</f>
        <v>1030714.5139595154</v>
      </c>
      <c r="K11" s="5">
        <f>'P&amp;L'!K31</f>
        <v>1051328.8042387057</v>
      </c>
      <c r="L11" s="5">
        <f>'P&amp;L'!L31</f>
        <v>1072355.3803234797</v>
      </c>
    </row>
    <row r="12" spans="1:12" x14ac:dyDescent="0.25">
      <c r="A12" t="s">
        <v>194</v>
      </c>
      <c r="C12" s="5">
        <f>IF(B$3=0,0,CUMIPMT(rate/12,term*12,B$3,1,12,0))</f>
        <v>-140207.5930779404</v>
      </c>
      <c r="D12" s="5">
        <f>IF(B$3=0,0,CUMIPMT(rate/12,term*12,B$3,13,24,0))</f>
        <v>-132254.12351522563</v>
      </c>
      <c r="E12" s="5">
        <f>IF(B$3=0,0,CUMIPMT(rate/12,term*12,B$3,25,36,0))</f>
        <v>-124079.1555832127</v>
      </c>
      <c r="F12" s="5">
        <f>IF(B$3=0,0,CUMIPMT(rate/12,term*12,B$3,37,48,0))</f>
        <v>-115676.52071267342</v>
      </c>
      <c r="G12" s="5">
        <f>IF(B$3=0,0,CUMIPMT(rate/12,term*12,B$3,49,60,0))</f>
        <v>-107039.87854419246</v>
      </c>
      <c r="H12" s="5">
        <f>IF(B$3=0,0,CUMIPMT(rate/12,term*12,B$3,61,72,0))</f>
        <v>-98162.7121439349</v>
      </c>
      <c r="I12" s="5">
        <f>IF(B$3=0,0,CUMIPMT(rate/12,term*12,B$3,73,84,0))</f>
        <v>-89038.3230861766</v>
      </c>
      <c r="J12" s="5">
        <f>IF(B$3=0,0,CUMIPMT(rate/12,term*12,B$3,85,96,0))</f>
        <v>-79659.82639888639</v>
      </c>
      <c r="K12" s="5">
        <f>IF(B$3=0,0,CUMIPMT(rate/12,term*12,B$3,97,108,0))</f>
        <v>-70020.14536854651</v>
      </c>
      <c r="L12" s="5">
        <f>IF(B$3=0,0,CUMIPMT(rate/12,term*12,B$3,109,120,0))</f>
        <v>-60112.00620029104</v>
      </c>
    </row>
    <row r="13" spans="1:12" x14ac:dyDescent="0.25">
      <c r="A13" t="s">
        <v>195</v>
      </c>
      <c r="C13" s="5">
        <f>IF(B$3=0,0,CUMPRINC(rate/12,term*12,B$3,1,12,0))</f>
        <v>-285589.8139813051</v>
      </c>
      <c r="D13" s="5">
        <f>IF(B$3=0,0,CUMPRINC(rate/12,term*12,B$3,13,24,0))</f>
        <v>-293543.2835440199</v>
      </c>
      <c r="E13" s="5">
        <f>IF(B$3=0,0,CUMPRINC(rate/12,term*12,B$3,25,36,0))</f>
        <v>-301718.25147603283</v>
      </c>
      <c r="F13" s="5">
        <f>IF(B$3=0,0,CUMPRINC(rate/12,term*12,B$3,37,48,0))</f>
        <v>-310120.8863465721</v>
      </c>
      <c r="G13" s="5">
        <f>IF(B$3=0,0,CUMPRINC(rate/12,term*12,B$3,49,60,0))</f>
        <v>-318757.5285150531</v>
      </c>
      <c r="H13" s="5">
        <f>IF(B$3=0,0,CUMPRINC(rate/12,term*12,B$3,61,72,0))</f>
        <v>-327634.69491531065</v>
      </c>
      <c r="I13" s="5">
        <f>IF(B$3=0,0,CUMPRINC(rate/12,term*12,B$3,73,84,0))</f>
        <v>-336759.0839730689</v>
      </c>
      <c r="J13" s="5">
        <f>IF(B$3=0,0,CUMPRINC(rate/12,term*12,B$3,85,96,0))</f>
        <v>-346137.5806603591</v>
      </c>
      <c r="K13" s="5">
        <f>IF(B$3=0,0,CUMPRINC(rate/12,term*12,B$3,97,108,0))</f>
        <v>-355777.261690699</v>
      </c>
      <c r="L13" s="5">
        <f>IF(B$3=0,0,CUMPRINC(rate/12,term*12,B$3,109,120,0))</f>
        <v>-365685.4008589545</v>
      </c>
    </row>
    <row r="14" spans="1:12" x14ac:dyDescent="0.25">
      <c r="A14" t="s">
        <v>196</v>
      </c>
      <c r="C14" s="5">
        <f>C11+C12+C13</f>
        <v>362562.32706758357</v>
      </c>
      <c r="D14" s="5">
        <f>D11+D12+D13</f>
        <v>450567.2614334376</v>
      </c>
      <c r="E14" s="5">
        <f>E11+E12+E13</f>
        <v>507752.4843727542</v>
      </c>
      <c r="F14" s="5">
        <f>F11+F12+F13</f>
        <v>526423.4822013943</v>
      </c>
      <c r="G14" s="5">
        <f>G11+G12+G13</f>
        <v>545467.8999866069</v>
      </c>
      <c r="H14" s="5">
        <f>H11+H12+H13</f>
        <v>564893.2061275241</v>
      </c>
      <c r="I14" s="5">
        <f>I11+I12+I13</f>
        <v>584707.0183912595</v>
      </c>
      <c r="J14" s="5">
        <f>J11+J12+J13</f>
        <v>604917.1069002699</v>
      </c>
      <c r="K14" s="5">
        <f>K11+K12+K13</f>
        <v>625531.3971794602</v>
      </c>
      <c r="L14" s="5">
        <f>L11+L12+L13</f>
        <v>646557.9732642341</v>
      </c>
    </row>
    <row r="15" spans="1:12" x14ac:dyDescent="0.25">
      <c r="A15" t="s">
        <v>197</v>
      </c>
      <c r="C15" s="5">
        <f>MAX(0,C14)</f>
        <v>362562.32706758357</v>
      </c>
      <c r="D15" s="5">
        <f>MAX(0,D14)</f>
        <v>450567.2614334376</v>
      </c>
      <c r="E15" s="5">
        <f>MAX(0,E14)</f>
        <v>507752.4843727542</v>
      </c>
      <c r="F15" s="5">
        <f>MAX(0,F14)</f>
        <v>526423.4822013943</v>
      </c>
      <c r="G15" s="5">
        <f>MAX(0,G14)</f>
        <v>545467.8999866069</v>
      </c>
      <c r="H15" s="5">
        <f>MAX(0,H14)</f>
        <v>564893.2061275241</v>
      </c>
      <c r="I15" s="5">
        <f>MAX(0,I14)</f>
        <v>584707.0183912595</v>
      </c>
      <c r="J15" s="5">
        <f>MAX(0,J14)</f>
        <v>604917.1069002699</v>
      </c>
      <c r="K15" s="5">
        <f>MAX(0,K14)</f>
        <v>625531.3971794602</v>
      </c>
      <c r="L15" s="5">
        <f>MAX(0,L14)</f>
        <v>646557.9732642341</v>
      </c>
    </row>
    <row r="16" spans="1:12" x14ac:dyDescent="0.25">
      <c r="A16" t="s">
        <v>198</v>
      </c>
      <c r="C16" s="5">
        <f>3800104.4556734697</f>
        <v>3800104.4556734697</v>
      </c>
      <c r="D16" s="5">
        <f>3790858.961540955</f>
        <v>3790858.961540955</v>
      </c>
      <c r="E16" s="5">
        <f>3704837.564585741</f>
        <v>3704837.564585741</v>
      </c>
      <c r="F16" s="5">
        <f>3562526.4232545416</f>
        <v>3562526.4232545416</v>
      </c>
      <c r="G16" s="5">
        <f>3392698.6484929</f>
        <v>3392698.6484929</v>
      </c>
      <c r="H16" s="5">
        <f>3192830.274783904</f>
        <v>3192830.274783904</v>
      </c>
      <c r="I16" s="5">
        <f>2960188.966672437</f>
        <v>2960188.966672437</v>
      </c>
      <c r="J16" s="5">
        <f>2691817.220116184</f>
        <v>2691817.220116184</v>
      </c>
      <c r="K16" s="5">
        <f>2384514.217363646</f>
        <v>2384514.217363646</v>
      </c>
      <c r="L16" s="5">
        <f>2034816.2275896836</f>
        <v>2034816.2275896836</v>
      </c>
    </row>
    <row r="17" spans="1:12" x14ac:dyDescent="0.25">
      <c r="A17" t="s">
        <v>199</v>
      </c>
      <c r="C17" s="5">
        <f>3940849.0651428574</f>
        <v>3940849.0651428574</v>
      </c>
      <c r="D17" s="5">
        <f>4088895.1079074456</f>
        <v>4088895.1079074456</v>
      </c>
      <c r="E17" s="5">
        <f>4175854.2546119792</f>
        <v>4175854.2546119792</v>
      </c>
      <c r="F17" s="5">
        <f>4222010.53916743</f>
        <v>4222010.53916743</v>
      </c>
      <c r="G17" s="5">
        <f>4256976.363815073</f>
        <v>4256976.363815073</v>
      </c>
      <c r="H17" s="5">
        <f>4279074.289084882</f>
        <v>4279074.289084882</v>
      </c>
      <c r="I17" s="5">
        <f>4286418.891084808</f>
        <v>4286418.891084808</v>
      </c>
      <c r="J17" s="5">
        <f>4276891.669536416</f>
        <v>4276891.669536416</v>
      </c>
      <c r="K17" s="5">
        <f>4248112.942098144</f>
        <v>4248112.942098144</v>
      </c>
      <c r="L17" s="5">
        <f>4197410.363277126</f>
        <v>4197410.363277126</v>
      </c>
    </row>
    <row r="18" spans="1:12" x14ac:dyDescent="0.25">
      <c r="A18" t="s">
        <v>200</v>
      </c>
      <c r="C18" s="5">
        <f>0</f>
        <v>0</v>
      </c>
      <c r="D18" s="5">
        <f>C18+C22</f>
        <v>290049.86165406683</v>
      </c>
      <c r="E18" s="5">
        <f>D18+D22</f>
        <v>650503.6708008168</v>
      </c>
      <c r="F18" s="5">
        <f>E18+E22</f>
        <v>1056705.65829902</v>
      </c>
      <c r="G18" s="5">
        <f>F18+F22</f>
        <v>1477844.4440601354</v>
      </c>
      <c r="H18" s="5">
        <f>G18+G22</f>
        <v>1914218.7640494208</v>
      </c>
      <c r="I18" s="5">
        <f>H18+H22</f>
        <v>2366133.3289514403</v>
      </c>
      <c r="J18" s="5">
        <f>I18+I22</f>
        <v>2833898.943664448</v>
      </c>
      <c r="K18" s="5">
        <f>J18+J22</f>
        <v>3317832.6291846638</v>
      </c>
      <c r="L18" s="5">
        <f>K18+K22</f>
        <v>3818257.746928232</v>
      </c>
    </row>
    <row r="19" spans="1:12" x14ac:dyDescent="0.25">
      <c r="A19" t="s">
        <v>201</v>
      </c>
      <c r="C19" s="5">
        <f>362562.32706758357</f>
        <v>362562.32706758357</v>
      </c>
      <c r="D19" s="5">
        <f>450567.2614334376</f>
        <v>450567.2614334376</v>
      </c>
      <c r="E19" s="5">
        <f>507752.4843727542</f>
        <v>507752.4843727542</v>
      </c>
      <c r="F19" s="5">
        <f>526423.4822013943</f>
        <v>526423.4822013943</v>
      </c>
      <c r="G19" s="5">
        <f>545467.8999866069</f>
        <v>545467.8999866069</v>
      </c>
      <c r="H19" s="5">
        <f>564893.2061275241</f>
        <v>564893.2061275241</v>
      </c>
      <c r="I19" s="5">
        <f>584707.0183912595</f>
        <v>584707.0183912595</v>
      </c>
      <c r="J19" s="5">
        <f>604917.1069002699</f>
        <v>604917.1069002699</v>
      </c>
      <c r="K19" s="5">
        <f>625531.3971794602</f>
        <v>625531.3971794602</v>
      </c>
      <c r="L19" s="5">
        <f>646557.9732642341</f>
        <v>646557.9732642341</v>
      </c>
    </row>
    <row r="20" spans="1:12" x14ac:dyDescent="0.25">
      <c r="A20" t="s">
        <v>202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  <c r="J20" s="5">
        <f>0</f>
        <v>0</v>
      </c>
      <c r="K20" s="5">
        <f>0</f>
        <v>0</v>
      </c>
      <c r="L20" s="5">
        <f>0</f>
        <v>0</v>
      </c>
    </row>
    <row r="21" spans="1:12" x14ac:dyDescent="0.25">
      <c r="A21" t="s">
        <v>203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  <c r="J21" s="5">
        <f>0</f>
        <v>0</v>
      </c>
      <c r="K21" s="5">
        <f>0</f>
        <v>0</v>
      </c>
      <c r="L21" s="5">
        <f>0</f>
        <v>0</v>
      </c>
    </row>
    <row r="22" spans="1:12" x14ac:dyDescent="0.25">
      <c r="A22" t="s">
        <v>204</v>
      </c>
      <c r="C22" s="5">
        <f>290049.86165406683</f>
        <v>290049.86165406683</v>
      </c>
      <c r="D22" s="5">
        <f>360453.80914675</f>
        <v>360453.80914675</v>
      </c>
      <c r="E22" s="5">
        <f>406201.9874982033</f>
        <v>406201.9874982033</v>
      </c>
      <c r="F22" s="5">
        <f>421138.7857611154</f>
        <v>421138.7857611154</v>
      </c>
      <c r="G22" s="5">
        <f>436374.3199892855</f>
        <v>436374.3199892855</v>
      </c>
      <c r="H22" s="5">
        <f>451914.5649020193</f>
        <v>451914.5649020193</v>
      </c>
      <c r="I22" s="5">
        <f>467765.6147130075</f>
        <v>467765.6147130075</v>
      </c>
      <c r="J22" s="5">
        <f>483933.68552021583</f>
        <v>483933.68552021583</v>
      </c>
      <c r="K22" s="5">
        <f>500425.1177435681</f>
        <v>500425.1177435681</v>
      </c>
      <c r="L22" s="5">
        <f>517246.3786113873</f>
        <v>517246.3786113873</v>
      </c>
    </row>
    <row r="23" spans="1:12" x14ac:dyDescent="0.25">
      <c r="A23" t="s">
        <v>205</v>
      </c>
      <c r="C23" s="5">
        <f>72512.46541351674</f>
        <v>72512.46541351674</v>
      </c>
      <c r="D23" s="5">
        <f>90113.45228668756</f>
        <v>90113.45228668756</v>
      </c>
      <c r="E23" s="5">
        <f>101550.49687455088</f>
        <v>101550.49687455088</v>
      </c>
      <c r="F23" s="5">
        <f>105284.6964402789</f>
        <v>105284.6964402789</v>
      </c>
      <c r="G23" s="5">
        <f>109093.57999732142</f>
        <v>109093.57999732142</v>
      </c>
      <c r="H23" s="5">
        <f>112978.64122550486</f>
        <v>112978.64122550486</v>
      </c>
      <c r="I23" s="5">
        <f>116941.40367825195</f>
        <v>116941.40367825195</v>
      </c>
      <c r="J23" s="5">
        <f>120983.42138005403</f>
        <v>120983.42138005403</v>
      </c>
      <c r="K23" s="5">
        <f>125106.27943589207</f>
        <v>125106.27943589207</v>
      </c>
      <c r="L23" s="5">
        <f>129311.59465284686</f>
        <v>129311.59465284686</v>
      </c>
    </row>
    <row r="25" spans="1:2" x14ac:dyDescent="0.25">
      <c r="A25" t="s">
        <v>206</v>
      </c>
      <c r="B25" s="5">
        <f>'P&amp;L'!L31</f>
        <v>1072355.3803234797</v>
      </c>
    </row>
    <row r="26" spans="1:2" x14ac:dyDescent="0.25">
      <c r="A26" t="s">
        <v>207</v>
      </c>
      <c r="B26" s="5">
        <f>B25/cap</f>
        <v>15319362.576049708</v>
      </c>
    </row>
    <row r="27" spans="1:2" x14ac:dyDescent="0.25">
      <c r="A27" t="s">
        <v>27</v>
      </c>
      <c r="B27" s="5">
        <f>-B26*sell_pct</f>
        <v>-306387.2515209942</v>
      </c>
    </row>
    <row r="28" spans="1:2" x14ac:dyDescent="0.25">
      <c r="A28" t="s">
        <v>208</v>
      </c>
      <c r="B28" s="5">
        <f>IF(B$3=0,0,B$3+CUMPRINC(rate/12,term*12,B$3,1,120,0))</f>
        <v>1986980.2956712737</v>
      </c>
    </row>
    <row r="29" spans="1:2" x14ac:dyDescent="0.25">
      <c r="A29" t="s">
        <v>209</v>
      </c>
      <c r="B29" s="5">
        <f>B26+B27-B28</f>
        <v>13025995.02885744</v>
      </c>
    </row>
    <row r="30" spans="1:2" x14ac:dyDescent="0.25">
      <c r="A30" t="s">
        <v>210</v>
      </c>
      <c r="B30" s="5">
        <f>MAX(0,B29-eq_total)</f>
        <v>8627725.982939072</v>
      </c>
    </row>
    <row r="31" spans="1:2" x14ac:dyDescent="0.25">
      <c r="A31" t="s">
        <v>211</v>
      </c>
      <c r="B31" s="5">
        <f>8503931.498942958</f>
        <v>8503931.498942958</v>
      </c>
    </row>
    <row r="32" spans="1:2" x14ac:dyDescent="0.25">
      <c r="A32" t="s">
        <v>212</v>
      </c>
      <c r="B32" s="5">
        <f>4522063.529914482</f>
        <v>4522063.529914482</v>
      </c>
    </row>
    <row r="34" spans="1:12" x14ac:dyDescent="0.25">
      <c r="A34" t="s">
        <v>213</v>
      </c>
      <c r="B34" s="5">
        <f>-eq_lp</f>
        <v>-3518615.236734694</v>
      </c>
      <c r="C34" s="5">
        <f>C22</f>
        <v>290049.86165406683</v>
      </c>
      <c r="D34" s="5">
        <f>D22</f>
        <v>360453.80914675</v>
      </c>
      <c r="E34" s="5">
        <f>E22</f>
        <v>406201.9874982033</v>
      </c>
      <c r="F34" s="5">
        <f>F22</f>
        <v>421138.7857611154</v>
      </c>
      <c r="G34" s="5">
        <f>G22</f>
        <v>436374.3199892855</v>
      </c>
      <c r="H34" s="5">
        <f>H22</f>
        <v>451914.5649020193</v>
      </c>
      <c r="I34" s="5">
        <f>I22</f>
        <v>467765.6147130075</v>
      </c>
      <c r="J34" s="5">
        <f>J22</f>
        <v>483933.68552021583</v>
      </c>
      <c r="K34" s="5">
        <f>K22</f>
        <v>500425.1177435681</v>
      </c>
      <c r="L34" s="5">
        <f>L22+B31</f>
        <v>9021177.877554346</v>
      </c>
    </row>
    <row r="36" spans="1:2" x14ac:dyDescent="0.25">
      <c r="A36" s="3" t="s">
        <v>31</v>
      </c>
      <c r="B36" s="6">
        <f>IRR(B34:L34)</f>
        <v>0.17626054233412145</v>
      </c>
    </row>
    <row r="37" spans="1:2" x14ac:dyDescent="0.25">
      <c r="A37" s="3" t="s">
        <v>214</v>
      </c>
      <c r="B37" s="5">
        <f>SUM(C22:L22)+B31</f>
        <v>12839435.624482578</v>
      </c>
    </row>
    <row r="38" spans="1:2" x14ac:dyDescent="0.25">
      <c r="A38" s="3" t="s">
        <v>215</v>
      </c>
      <c r="B38" s="7">
        <f>B37/eq_lp</f>
        <v>3.649002451429639</v>
      </c>
    </row>
    <row r="39" spans="1:2" x14ac:dyDescent="0.25">
      <c r="A39" s="3" t="s">
        <v>216</v>
      </c>
      <c r="B39" s="6">
        <f>'P&amp;L'!E31/tpc</f>
        <v>0.09819879501141615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12" width="12" customWidth="1"/>
  </cols>
  <sheetData>
    <row r="1" spans="1:1" x14ac:dyDescent="0.25">
      <c r="A1" s="2" t="s">
        <v>217</v>
      </c>
    </row>
    <row r="3" spans="1:1" x14ac:dyDescent="0.25">
      <c r="A3" s="3" t="s">
        <v>218</v>
      </c>
    </row>
    <row r="4" spans="2:12" x14ac:dyDescent="0.25">
      <c r="B4" s="3" t="s">
        <v>219</v>
      </c>
      <c r="C4" s="3" t="s">
        <v>152</v>
      </c>
      <c r="D4" s="3" t="s">
        <v>153</v>
      </c>
      <c r="E4" s="3" t="s">
        <v>154</v>
      </c>
      <c r="F4" s="3" t="s">
        <v>155</v>
      </c>
      <c r="G4" s="3" t="s">
        <v>156</v>
      </c>
      <c r="H4" s="3" t="s">
        <v>157</v>
      </c>
      <c r="I4" s="3" t="s">
        <v>158</v>
      </c>
      <c r="J4" s="3" t="s">
        <v>159</v>
      </c>
      <c r="K4" s="3" t="s">
        <v>160</v>
      </c>
      <c r="L4" s="3" t="s">
        <v>161</v>
      </c>
    </row>
    <row r="5" spans="1:2" x14ac:dyDescent="0.25">
      <c r="A5" t="s">
        <v>220</v>
      </c>
      <c r="B5" s="5">
        <f>-IF(Assumptions!$B$47&gt;0,tpc,cost_base)</f>
        <v>-9410707.070707072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-207921</v>
      </c>
    </row>
    <row r="8" spans="1:2" x14ac:dyDescent="0.25">
      <c r="A8" t="s">
        <v>221</v>
      </c>
      <c r="B8" s="5">
        <f>Assumptions!$B$47*tpc</f>
        <v>0</v>
      </c>
    </row>
    <row r="9" spans="1:2" x14ac:dyDescent="0.25">
      <c r="A9" t="s">
        <v>222</v>
      </c>
      <c r="B9" s="5">
        <f>(-(B5+B8+B6)-B7)*(1-gp_pct)</f>
        <v>7694902.456565658</v>
      </c>
    </row>
    <row r="10" spans="1:2" x14ac:dyDescent="0.25">
      <c r="A10" t="s">
        <v>223</v>
      </c>
      <c r="B10" s="5">
        <f>(-(B5+B8+B6)-B7)*gp_pct</f>
        <v>1923725.6141414144</v>
      </c>
    </row>
    <row r="11" spans="1:2" x14ac:dyDescent="0.25">
      <c r="A11" s="3" t="s">
        <v>224</v>
      </c>
      <c r="B11" s="5">
        <f>SUM(B5:B10)</f>
        <v>0</v>
      </c>
    </row>
    <row r="13" spans="1:12" x14ac:dyDescent="0.25">
      <c r="A13" t="s">
        <v>189</v>
      </c>
      <c r="C13" s="5">
        <f>'P&amp;L'!C31</f>
        <v>788359.7341268291</v>
      </c>
      <c r="D13" s="5">
        <f>'P&amp;L'!D31</f>
        <v>876364.6684926831</v>
      </c>
      <c r="E13" s="5">
        <f>'P&amp;L'!E31</f>
        <v>933549.8914319997</v>
      </c>
      <c r="F13" s="5">
        <f>'P&amp;L'!F31</f>
        <v>952220.8892606398</v>
      </c>
      <c r="G13" s="5">
        <f>'P&amp;L'!G31</f>
        <v>971265.3070458524</v>
      </c>
      <c r="H13" s="5">
        <f>'P&amp;L'!H31</f>
        <v>990690.6131867697</v>
      </c>
      <c r="I13" s="5">
        <f>'P&amp;L'!I31</f>
        <v>1010504.4254505051</v>
      </c>
      <c r="J13" s="5">
        <f>'P&amp;L'!J31</f>
        <v>1030714.5139595154</v>
      </c>
      <c r="K13" s="5">
        <f>'P&amp;L'!K31</f>
        <v>1051328.8042387057</v>
      </c>
      <c r="L13" s="5">
        <f>'P&amp;L'!L31</f>
        <v>1072355.3803234797</v>
      </c>
    </row>
    <row r="14" spans="1:12" x14ac:dyDescent="0.25">
      <c r="A14" t="s">
        <v>194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  <c r="J14" s="5">
        <f>IF(B8=0,0,CUMIPMT(Assumptions!$B$48/12,Assumptions!$B$49*12,B8,85,96,0))</f>
        <v>0</v>
      </c>
      <c r="K14" s="5">
        <f>IF(B8=0,0,CUMIPMT(Assumptions!$B$48/12,Assumptions!$B$49*12,B8,97,108,0))</f>
        <v>0</v>
      </c>
      <c r="L14" s="5">
        <f>IF(B8=0,0,CUMIPMT(Assumptions!$B$48/12,Assumptions!$B$49*12,B8,109,120,0))</f>
        <v>0</v>
      </c>
    </row>
    <row r="15" spans="1:12" x14ac:dyDescent="0.25">
      <c r="A15" t="s">
        <v>195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  <c r="J15" s="5">
        <f>IF(B8=0,0,CUMPRINC(Assumptions!$B$48/12,Assumptions!$B$49*12,B8,85,96,0))</f>
        <v>0</v>
      </c>
      <c r="K15" s="5">
        <f>IF(B8=0,0,CUMPRINC(Assumptions!$B$48/12,Assumptions!$B$49*12,B8,97,108,0))</f>
        <v>0</v>
      </c>
      <c r="L15" s="5">
        <f>IF(B8=0,0,CUMPRINC(Assumptions!$B$48/12,Assumptions!$B$49*12,B8,109,120,0))</f>
        <v>0</v>
      </c>
    </row>
    <row r="16" spans="1:12" x14ac:dyDescent="0.25">
      <c r="A16" t="s">
        <v>225</v>
      </c>
      <c r="C16" s="5">
        <f>C13+C14+C15</f>
        <v>788359.7341268291</v>
      </c>
      <c r="D16" s="5">
        <f>D13+D14+D15</f>
        <v>876364.6684926831</v>
      </c>
      <c r="E16" s="5">
        <f>E13+E14+E15</f>
        <v>933549.8914319997</v>
      </c>
      <c r="F16" s="5">
        <f>F13+F14+F15</f>
        <v>952220.8892606398</v>
      </c>
      <c r="G16" s="5">
        <f>G13+G14+G15</f>
        <v>971265.3070458524</v>
      </c>
      <c r="H16" s="5">
        <f>H13+H14+H15</f>
        <v>990690.6131867697</v>
      </c>
      <c r="I16" s="5">
        <f>I13+I14+I15</f>
        <v>1010504.4254505051</v>
      </c>
      <c r="J16" s="5">
        <f>J13+J14+J15</f>
        <v>1030714.5139595154</v>
      </c>
      <c r="K16" s="5">
        <f>K13+K14+K15</f>
        <v>1051328.8042387057</v>
      </c>
      <c r="L16" s="5">
        <f>L13+L14+L15</f>
        <v>1072355.3803234797</v>
      </c>
    </row>
    <row r="17" spans="1:12" x14ac:dyDescent="0.25">
      <c r="A17" t="s">
        <v>226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  <c r="J17" s="5">
        <f>0</f>
        <v>0</v>
      </c>
      <c r="K17" s="5">
        <f>0</f>
        <v>0</v>
      </c>
      <c r="L17" s="5">
        <f>0</f>
        <v>0</v>
      </c>
    </row>
    <row r="18" spans="1:12" x14ac:dyDescent="0.25">
      <c r="A18" t="s">
        <v>227</v>
      </c>
      <c r="C18" s="5">
        <f>IF(1=MIN(MAX(1,ROUNDUP(vat_months/12,0)),10),-B7,0)</f>
        <v>207921</v>
      </c>
      <c r="D18" s="5">
        <f>IF(2=MIN(MAX(1,ROUNDUP(vat_months/12,0)),10),-B7,0)</f>
        <v>0</v>
      </c>
      <c r="E18" s="5">
        <f>IF(3=MIN(MAX(1,ROUNDUP(vat_months/12,0)),10),-B7,0)</f>
        <v>0</v>
      </c>
      <c r="F18" s="5">
        <f>IF(4=MIN(MAX(1,ROUNDUP(vat_months/12,0)),10),-B7,0)</f>
        <v>0</v>
      </c>
      <c r="G18" s="5">
        <f>IF(5=MIN(MAX(1,ROUNDUP(vat_months/12,0)),10),-B7,0)</f>
        <v>0</v>
      </c>
      <c r="H18" s="5">
        <f>IF(6=MIN(MAX(1,ROUNDUP(vat_months/12,0)),10),-B7,0)</f>
        <v>0</v>
      </c>
      <c r="I18" s="5">
        <f>IF(7=MIN(MAX(1,ROUNDUP(vat_months/12,0)),10),-B7,0)</f>
        <v>0</v>
      </c>
      <c r="J18" s="5">
        <f>IF(8=MIN(MAX(1,ROUNDUP(vat_months/12,0)),10),-B7,0)</f>
        <v>0</v>
      </c>
      <c r="K18" s="5">
        <f>IF(9=MIN(MAX(1,ROUNDUP(vat_months/12,0)),10),-B7,0)</f>
        <v>0</v>
      </c>
      <c r="L18" s="5">
        <f>IF(10=MIN(MAX(1,ROUNDUP(vat_months/12,0)),10),-B7,0)</f>
        <v>0</v>
      </c>
    </row>
    <row r="19" spans="1:12" x14ac:dyDescent="0.25">
      <c r="A19" t="s">
        <v>228</v>
      </c>
      <c r="C19" s="5">
        <f>C16+C17+C18</f>
        <v>996280.7341268291</v>
      </c>
      <c r="D19" s="5">
        <f>C19+D16+D17+D18</f>
        <v>1872645.4026195123</v>
      </c>
      <c r="E19" s="5">
        <f>D19+E16+E17+E18</f>
        <v>2806195.294051512</v>
      </c>
      <c r="F19" s="5">
        <f>E19+F16+F17+F18</f>
        <v>3758416.183312152</v>
      </c>
      <c r="G19" s="5">
        <f>F19+G16+G17+G18</f>
        <v>4729681.490358004</v>
      </c>
      <c r="H19" s="5">
        <f>G19+H16+H17+H18</f>
        <v>5720372.1035447735</v>
      </c>
      <c r="I19" s="5">
        <f>H19+I16+I17+I18</f>
        <v>6730876.528995278</v>
      </c>
      <c r="J19" s="5">
        <f>I19+J16+J17+J18</f>
        <v>7761591.042954793</v>
      </c>
      <c r="K19" s="5">
        <f>J19+K16+K17+K18</f>
        <v>8812919.847193498</v>
      </c>
      <c r="L19" s="5">
        <f>K19+L16+L17+L18</f>
        <v>9885275.227516977</v>
      </c>
    </row>
    <row r="20" spans="1:12" x14ac:dyDescent="0.25">
      <c r="A20" t="s">
        <v>229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  <c r="J20" s="7">
        <f>IF((J14+J15)=0,0,-J13/(J14+J15))</f>
        <v>0</v>
      </c>
      <c r="K20" s="7">
        <f>IF((K14+K15)=0,0,-K13/(K14+K15))</f>
        <v>0</v>
      </c>
      <c r="L20" s="7">
        <f>IF((L14+L15)=0,0,-L13/(L14+L15))</f>
        <v>0</v>
      </c>
    </row>
    <row r="22" spans="1:12" x14ac:dyDescent="0.25">
      <c r="A22" t="s">
        <v>26</v>
      </c>
      <c r="C22" s="5">
        <f>IF(1=10,'P&amp;L'!L31/cap,0)</f>
        <v>0</v>
      </c>
      <c r="D22" s="5">
        <f>IF(2=10,'P&amp;L'!L31/cap,0)</f>
        <v>0</v>
      </c>
      <c r="E22" s="5">
        <f>IF(3=10,'P&amp;L'!L31/cap,0)</f>
        <v>0</v>
      </c>
      <c r="F22" s="5">
        <f>IF(4=10,'P&amp;L'!L31/cap,0)</f>
        <v>0</v>
      </c>
      <c r="G22" s="5">
        <f>IF(5=10,'P&amp;L'!L31/cap,0)</f>
        <v>0</v>
      </c>
      <c r="H22" s="5">
        <f>IF(6=10,'P&amp;L'!L31/cap,0)</f>
        <v>0</v>
      </c>
      <c r="I22" s="5">
        <f>IF(7=10,'P&amp;L'!L31/cap,0)</f>
        <v>0</v>
      </c>
      <c r="J22" s="5">
        <f>IF(8=10,'P&amp;L'!L31/cap,0)</f>
        <v>0</v>
      </c>
      <c r="K22" s="5">
        <f>IF(9=10,'P&amp;L'!L31/cap,0)</f>
        <v>0</v>
      </c>
      <c r="L22" s="5">
        <f>IF(10=10,'P&amp;L'!L31/cap,0)</f>
        <v>15319362.576049708</v>
      </c>
    </row>
    <row r="23" spans="1:12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0</v>
      </c>
      <c r="J23" s="5">
        <f>-J22*sell_pct</f>
        <v>0</v>
      </c>
      <c r="K23" s="5">
        <f>-K22*sell_pct</f>
        <v>0</v>
      </c>
      <c r="L23" s="5">
        <f>-L22*sell_pct</f>
        <v>-306387.25152099505</v>
      </c>
    </row>
    <row r="24" spans="1:12" x14ac:dyDescent="0.25">
      <c r="A24" t="s">
        <v>28</v>
      </c>
      <c r="C24" s="5">
        <f>IF(1&lt;10,0,IF(B8=0,0,-(B8+CUMPRINC(Assumptions!$B$48/12,Assumptions!$B$49*12,B8,1,120,0))))</f>
        <v>0</v>
      </c>
      <c r="D24" s="5">
        <f>IF(2&lt;10,0,IF(B8=0,0,-(B8+CUMPRINC(Assumptions!$B$48/12,Assumptions!$B$49*12,B8,1,120,0))))</f>
        <v>0</v>
      </c>
      <c r="E24" s="5">
        <f>IF(3&lt;10,0,IF(B8=0,0,-(B8+CUMPRINC(Assumptions!$B$48/12,Assumptions!$B$49*12,B8,1,120,0))))</f>
        <v>0</v>
      </c>
      <c r="F24" s="5">
        <f>IF(4&lt;10,0,IF(B8=0,0,-(B8+CUMPRINC(Assumptions!$B$48/12,Assumptions!$B$49*12,B8,1,120,0))))</f>
        <v>0</v>
      </c>
      <c r="G24" s="5">
        <f>IF(5&lt;10,0,IF(B8=0,0,-(B8+CUMPRINC(Assumptions!$B$48/12,Assumptions!$B$49*12,B8,1,120,0))))</f>
        <v>0</v>
      </c>
      <c r="H24" s="5">
        <f>IF(6&lt;10,0,IF(B8=0,0,-(B8+CUMPRINC(Assumptions!$B$48/12,Assumptions!$B$49*12,B8,1,120,0))))</f>
        <v>0</v>
      </c>
      <c r="I24" s="5">
        <f>IF(7&lt;10,0,IF(B8=0,0,-(B8+CUMPRINC(Assumptions!$B$48/12,Assumptions!$B$49*12,B8,1,120,0))))</f>
        <v>0</v>
      </c>
      <c r="J24" s="5">
        <f>IF(8&lt;10,0,IF(B8=0,0,-(B8+CUMPRINC(Assumptions!$B$48/12,Assumptions!$B$49*12,B8,1,120,0))))</f>
        <v>0</v>
      </c>
      <c r="K24" s="5">
        <f>IF(9&lt;10,0,IF(B8=0,0,-(B8+CUMPRINC(Assumptions!$B$48/12,Assumptions!$B$49*12,B8,1,120,0))))</f>
        <v>0</v>
      </c>
      <c r="L24" s="5">
        <f>IF(10&lt;10,0,IF(B8=0,0,-(B8+CUMPRINC(Assumptions!$B$48/12,Assumptions!$B$49*12,B8,1,120,0))))</f>
        <v>0</v>
      </c>
    </row>
    <row r="25" spans="1:12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0</v>
      </c>
      <c r="J25" s="5">
        <f>J22+J23+J24</f>
        <v>0</v>
      </c>
      <c r="K25" s="5">
        <f>K22+K23+K24</f>
        <v>0</v>
      </c>
      <c r="L25" s="5">
        <f>L22+L23+L24</f>
        <v>15012975.324528713</v>
      </c>
    </row>
    <row r="27" spans="1:12" x14ac:dyDescent="0.25">
      <c r="A27" t="s">
        <v>204</v>
      </c>
      <c r="C27" s="5">
        <f>630687.7873014633</f>
        <v>630687.7873014633</v>
      </c>
      <c r="D27" s="5">
        <f>701091.7347941465</f>
        <v>701091.7347941465</v>
      </c>
      <c r="E27" s="5">
        <f>746839.9131455999</f>
        <v>746839.9131455999</v>
      </c>
      <c r="F27" s="5">
        <f>761776.7114085119</f>
        <v>761776.7114085119</v>
      </c>
      <c r="G27" s="5">
        <f>777012.245636682</f>
        <v>777012.245636682</v>
      </c>
      <c r="H27" s="5">
        <f>792552.4905494158</f>
        <v>792552.4905494158</v>
      </c>
      <c r="I27" s="5">
        <f>808403.5403604042</f>
        <v>808403.5403604042</v>
      </c>
      <c r="J27" s="5">
        <f>824571.6111676124</f>
        <v>824571.6111676124</v>
      </c>
      <c r="K27" s="5">
        <f>841063.0433909646</f>
        <v>841063.0433909646</v>
      </c>
      <c r="L27" s="5">
        <f>857884.3042587838</f>
        <v>857884.3042587838</v>
      </c>
    </row>
    <row r="28" spans="1:12" x14ac:dyDescent="0.25">
      <c r="A28" t="s">
        <v>205</v>
      </c>
      <c r="C28" s="5">
        <f>157671.94682536577</f>
        <v>157671.94682536577</v>
      </c>
      <c r="D28" s="5">
        <f>175272.9336985366</f>
        <v>175272.9336985366</v>
      </c>
      <c r="E28" s="5">
        <f>186709.97828639986</f>
        <v>186709.97828639986</v>
      </c>
      <c r="F28" s="5">
        <f>190444.17785212793</f>
        <v>190444.17785212793</v>
      </c>
      <c r="G28" s="5">
        <f>194253.0614091704</f>
        <v>194253.0614091704</v>
      </c>
      <c r="H28" s="5">
        <f>198138.12263735384</f>
        <v>198138.12263735384</v>
      </c>
      <c r="I28" s="5">
        <f>202100.88509010093</f>
        <v>202100.88509010093</v>
      </c>
      <c r="J28" s="5">
        <f>206142.902791903</f>
        <v>206142.902791903</v>
      </c>
      <c r="K28" s="5">
        <f>210265.76084774104</f>
        <v>210265.76084774104</v>
      </c>
      <c r="L28" s="5">
        <f>214471.07606469584</f>
        <v>214471.07606469584</v>
      </c>
    </row>
    <row r="29" spans="1:12" x14ac:dyDescent="0.25">
      <c r="A29" t="s">
        <v>230</v>
      </c>
      <c r="C29" s="5">
        <f>IF(1=10,11020178.936837927,0)</f>
        <v>0</v>
      </c>
      <c r="D29" s="5">
        <f>IF(2=10,11020178.936837927,0)</f>
        <v>0</v>
      </c>
      <c r="E29" s="5">
        <f>IF(3=10,11020178.936837927,0)</f>
        <v>0</v>
      </c>
      <c r="F29" s="5">
        <f>IF(4=10,11020178.936837927,0)</f>
        <v>0</v>
      </c>
      <c r="G29" s="5">
        <f>IF(5=10,11020178.936837927,0)</f>
        <v>0</v>
      </c>
      <c r="H29" s="5">
        <f>IF(6=10,11020178.936837927,0)</f>
        <v>0</v>
      </c>
      <c r="I29" s="5">
        <f>IF(7=10,11020178.936837927,0)</f>
        <v>0</v>
      </c>
      <c r="J29" s="5">
        <f>IF(8=10,11020178.936837927,0)</f>
        <v>0</v>
      </c>
      <c r="K29" s="5">
        <f>IF(9=10,11020178.936837927,0)</f>
        <v>0</v>
      </c>
      <c r="L29" s="5">
        <f>IF(10=10,11020178.936837927,0)</f>
        <v>11020178.936837927</v>
      </c>
    </row>
    <row r="30" spans="1:12" x14ac:dyDescent="0.25">
      <c r="A30" t="s">
        <v>231</v>
      </c>
      <c r="C30" s="5">
        <f>IF(1=10,3992796.3876907863,0)</f>
        <v>0</v>
      </c>
      <c r="D30" s="5">
        <f>IF(2=10,3992796.3876907863,0)</f>
        <v>0</v>
      </c>
      <c r="E30" s="5">
        <f>IF(3=10,3992796.3876907863,0)</f>
        <v>0</v>
      </c>
      <c r="F30" s="5">
        <f>IF(4=10,3992796.3876907863,0)</f>
        <v>0</v>
      </c>
      <c r="G30" s="5">
        <f>IF(5=10,3992796.3876907863,0)</f>
        <v>0</v>
      </c>
      <c r="H30" s="5">
        <f>IF(6=10,3992796.3876907863,0)</f>
        <v>0</v>
      </c>
      <c r="I30" s="5">
        <f>IF(7=10,3992796.3876907863,0)</f>
        <v>0</v>
      </c>
      <c r="J30" s="5">
        <f>IF(8=10,3992796.3876907863,0)</f>
        <v>0</v>
      </c>
      <c r="K30" s="5">
        <f>IF(9=10,3992796.3876907863,0)</f>
        <v>0</v>
      </c>
      <c r="L30" s="5">
        <f>IF(10=10,3992796.3876907863,0)</f>
        <v>3992796.3876907863</v>
      </c>
    </row>
    <row r="31" spans="1:12" x14ac:dyDescent="0.25">
      <c r="A31" t="s">
        <v>232</v>
      </c>
      <c r="C31" s="5">
        <f>(C17+C18)*(1-gp_pct)</f>
        <v>166336.80000000002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  <c r="J31" s="5">
        <f>(J17+J18)*(1-gp_pct)</f>
        <v>0</v>
      </c>
      <c r="K31" s="5">
        <f>(K17+K18)*(1-gp_pct)</f>
        <v>0</v>
      </c>
      <c r="L31" s="5">
        <f>(L17+L18)*(1-gp_pct)</f>
        <v>0</v>
      </c>
    </row>
    <row r="32" spans="1:12" x14ac:dyDescent="0.25">
      <c r="A32" t="s">
        <v>233</v>
      </c>
      <c r="C32" s="5">
        <f>(C17+C18)*gp_pct</f>
        <v>41584.19999999999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  <c r="J32" s="5">
        <f>(J17+J18)*gp_pct</f>
        <v>0</v>
      </c>
      <c r="K32" s="5">
        <f>(K17+K18)*gp_pct</f>
        <v>0</v>
      </c>
      <c r="L32" s="5">
        <f>(L17+L18)*gp_pct</f>
        <v>0</v>
      </c>
    </row>
    <row r="33" spans="1:12" x14ac:dyDescent="0.25">
      <c r="A33" s="3" t="s">
        <v>234</v>
      </c>
      <c r="C33" s="5">
        <f>SUM(C27:C32)</f>
        <v>996280.7341268291</v>
      </c>
      <c r="D33" s="5">
        <f>SUM(D27:D32)</f>
        <v>876364.6684926831</v>
      </c>
      <c r="E33" s="5">
        <f>SUM(E27:E32)</f>
        <v>933549.8914319997</v>
      </c>
      <c r="F33" s="5">
        <f>SUM(F27:F32)</f>
        <v>952220.8892606398</v>
      </c>
      <c r="G33" s="5">
        <f>SUM(G27:G32)</f>
        <v>971265.3070458524</v>
      </c>
      <c r="H33" s="5">
        <f>SUM(H27:H32)</f>
        <v>990690.6131867697</v>
      </c>
      <c r="I33" s="5">
        <f>SUM(I27:I32)</f>
        <v>1010504.4254505051</v>
      </c>
      <c r="J33" s="5">
        <f>SUM(J27:J32)</f>
        <v>1030714.5139595154</v>
      </c>
      <c r="K33" s="5">
        <f>SUM(K27:K32)</f>
        <v>1051328.8042387057</v>
      </c>
      <c r="L33" s="5">
        <f>SUM(L27:L32)</f>
        <v>16085330.704852192</v>
      </c>
    </row>
    <row r="35" spans="1:12" x14ac:dyDescent="0.25">
      <c r="A35" t="s">
        <v>235</v>
      </c>
      <c r="C35" s="5">
        <f>C16+C17+C18+C25</f>
        <v>996280.7341268291</v>
      </c>
      <c r="D35" s="5">
        <f>D16+D17+D18+D25</f>
        <v>876364.6684926831</v>
      </c>
      <c r="E35" s="5">
        <f>E16+E17+E18+E25</f>
        <v>933549.8914319997</v>
      </c>
      <c r="F35" s="5">
        <f>F16+F17+F18+F25</f>
        <v>952220.8892606398</v>
      </c>
      <c r="G35" s="5">
        <f>G16+G17+G18+G25</f>
        <v>971265.3070458524</v>
      </c>
      <c r="H35" s="5">
        <f>H16+H17+H18+H25</f>
        <v>990690.6131867697</v>
      </c>
      <c r="I35" s="5">
        <f>I16+I17+I18+I25</f>
        <v>1010504.4254505051</v>
      </c>
      <c r="J35" s="5">
        <f>J16+J17+J18+J25</f>
        <v>1030714.5139595154</v>
      </c>
      <c r="K35" s="5">
        <f>K16+K17+K18+K25</f>
        <v>1051328.8042387057</v>
      </c>
      <c r="L35" s="5">
        <f>L16+L17+L18+L25</f>
        <v>16085330.704852192</v>
      </c>
    </row>
    <row r="36" spans="1:12" x14ac:dyDescent="0.25">
      <c r="A36" t="s">
        <v>236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  <c r="J36" s="5">
        <f>J35-J33</f>
        <v>0</v>
      </c>
      <c r="K36" s="5">
        <f>K35-K33</f>
        <v>0</v>
      </c>
      <c r="L36" s="5">
        <f>L35-L33</f>
        <v>0</v>
      </c>
    </row>
    <row r="38" spans="1:12" x14ac:dyDescent="0.25">
      <c r="A38" t="s">
        <v>237</v>
      </c>
      <c r="B38" s="5">
        <f>-B9</f>
        <v>-7694902.456565658</v>
      </c>
      <c r="C38" s="5">
        <f>C27+C29+C31</f>
        <v>797024.5873014634</v>
      </c>
      <c r="D38" s="5">
        <f>D27+D29+D31</f>
        <v>701091.7347941465</v>
      </c>
      <c r="E38" s="5">
        <f>E27+E29+E31</f>
        <v>746839.9131455999</v>
      </c>
      <c r="F38" s="5">
        <f>F27+F29+F31</f>
        <v>761776.7114085119</v>
      </c>
      <c r="G38" s="5">
        <f>G27+G29+G31</f>
        <v>777012.245636682</v>
      </c>
      <c r="H38" s="5">
        <f>H27+H29+H31</f>
        <v>792552.4905494158</v>
      </c>
      <c r="I38" s="5">
        <f>I27+I29+I31</f>
        <v>808403.5403604042</v>
      </c>
      <c r="J38" s="5">
        <f>J27+J29+J31</f>
        <v>824571.6111676124</v>
      </c>
      <c r="K38" s="5">
        <f>K27+K29+K31</f>
        <v>841063.0433909646</v>
      </c>
      <c r="L38" s="5">
        <f>L27+L29+L31</f>
        <v>11878063.24109671</v>
      </c>
    </row>
    <row r="39" spans="1:12" x14ac:dyDescent="0.25">
      <c r="A39" t="s">
        <v>238</v>
      </c>
      <c r="B39" s="5">
        <f>B38</f>
        <v>-7694902.456565658</v>
      </c>
      <c r="C39" s="5">
        <f>B39+C38</f>
        <v>-6897877.869264195</v>
      </c>
      <c r="D39" s="5">
        <f>C39+D38</f>
        <v>-6196786.134470048</v>
      </c>
      <c r="E39" s="5">
        <f>D39+E38</f>
        <v>-5449946.2213244485</v>
      </c>
      <c r="F39" s="5">
        <f>E39+F38</f>
        <v>-4688169.509915937</v>
      </c>
      <c r="G39" s="5">
        <f>F39+G38</f>
        <v>-3911157.2642792547</v>
      </c>
      <c r="H39" s="5">
        <f>G39+H38</f>
        <v>-3118604.773729839</v>
      </c>
      <c r="I39" s="5">
        <f>H39+I38</f>
        <v>-2310201.2333694347</v>
      </c>
      <c r="J39" s="5">
        <f>I39+J38</f>
        <v>-1485629.6222018222</v>
      </c>
      <c r="K39" s="5">
        <f>J39+K38</f>
        <v>-644566.5788108576</v>
      </c>
      <c r="L39" s="5">
        <f>K39+L38</f>
        <v>11233496.662285853</v>
      </c>
    </row>
    <row r="42" spans="1:1" x14ac:dyDescent="0.25">
      <c r="A42" s="3" t="s">
        <v>239</v>
      </c>
    </row>
    <row r="43" spans="2:12" x14ac:dyDescent="0.25">
      <c r="B43" s="3" t="s">
        <v>219</v>
      </c>
      <c r="C43" s="3" t="s">
        <v>152</v>
      </c>
      <c r="D43" s="3" t="s">
        <v>153</v>
      </c>
      <c r="E43" s="3" t="s">
        <v>154</v>
      </c>
      <c r="F43" s="3" t="s">
        <v>155</v>
      </c>
      <c r="G43" s="3" t="s">
        <v>156</v>
      </c>
      <c r="H43" s="3" t="s">
        <v>157</v>
      </c>
      <c r="I43" s="3" t="s">
        <v>158</v>
      </c>
      <c r="J43" s="3" t="s">
        <v>159</v>
      </c>
      <c r="K43" s="3" t="s">
        <v>160</v>
      </c>
      <c r="L43" s="3" t="s">
        <v>161</v>
      </c>
    </row>
    <row r="44" spans="1:2" x14ac:dyDescent="0.25">
      <c r="A44" t="s">
        <v>220</v>
      </c>
      <c r="B44" s="5">
        <f>-IF(Assumptions!$C$47&gt;0,tpc,cost_base)</f>
        <v>-9506734.693877552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-120238.43367346941</v>
      </c>
    </row>
    <row r="46" spans="1:2" x14ac:dyDescent="0.25">
      <c r="A46" t="s">
        <v>17</v>
      </c>
      <c r="B46" s="5">
        <f>-vat_float</f>
        <v>-207921</v>
      </c>
    </row>
    <row r="47" spans="1:2" x14ac:dyDescent="0.25">
      <c r="A47" t="s">
        <v>221</v>
      </c>
      <c r="B47" s="5">
        <f>Assumptions!$C$47*tpc</f>
        <v>5228704.081632654</v>
      </c>
    </row>
    <row r="48" spans="1:2" x14ac:dyDescent="0.25">
      <c r="A48" t="s">
        <v>222</v>
      </c>
      <c r="B48" s="5">
        <f>(-(B44+B47+B45)-B46)*(1-gp_pct)</f>
        <v>3684952.0367346937</v>
      </c>
    </row>
    <row r="49" spans="1:2" x14ac:dyDescent="0.25">
      <c r="A49" t="s">
        <v>223</v>
      </c>
      <c r="B49" s="5">
        <f>(-(B44+B47+B45)-B46)*gp_pct</f>
        <v>921238.0091836734</v>
      </c>
    </row>
    <row r="50" spans="1:2" x14ac:dyDescent="0.25">
      <c r="A50" s="3" t="s">
        <v>224</v>
      </c>
      <c r="B50" s="5">
        <f>SUM(B44:B49)</f>
        <v>0</v>
      </c>
    </row>
    <row r="52" spans="1:12" x14ac:dyDescent="0.25">
      <c r="A52" t="s">
        <v>189</v>
      </c>
      <c r="C52" s="5">
        <f>'P&amp;L'!C31</f>
        <v>788359.7341268291</v>
      </c>
      <c r="D52" s="5">
        <f>'P&amp;L'!D31</f>
        <v>876364.6684926831</v>
      </c>
      <c r="E52" s="5">
        <f>'P&amp;L'!E31</f>
        <v>933549.8914319997</v>
      </c>
      <c r="F52" s="5">
        <f>'P&amp;L'!F31</f>
        <v>952220.8892606398</v>
      </c>
      <c r="G52" s="5">
        <f>'P&amp;L'!G31</f>
        <v>971265.3070458524</v>
      </c>
      <c r="H52" s="5">
        <f>'P&amp;L'!H31</f>
        <v>990690.6131867697</v>
      </c>
      <c r="I52" s="5">
        <f>'P&amp;L'!I31</f>
        <v>1010504.4254505051</v>
      </c>
      <c r="J52" s="5">
        <f>'P&amp;L'!J31</f>
        <v>1030714.5139595154</v>
      </c>
      <c r="K52" s="5">
        <f>'P&amp;L'!K31</f>
        <v>1051328.8042387057</v>
      </c>
      <c r="L52" s="5">
        <f>'P&amp;L'!L31</f>
        <v>1072355.3803234797</v>
      </c>
    </row>
    <row r="53" spans="1:12" x14ac:dyDescent="0.25">
      <c r="A53" t="s">
        <v>194</v>
      </c>
      <c r="C53" s="5">
        <f>IF(B47=0,0,CUMIPMT(Assumptions!$C$48/12,Assumptions!$C$49*12,B47,1,12,0))</f>
        <v>-140207.5930779404</v>
      </c>
      <c r="D53" s="5">
        <f>IF(B47=0,0,CUMIPMT(Assumptions!$C$48/12,Assumptions!$C$49*12,B47,13,24,0))</f>
        <v>-132254.12351522563</v>
      </c>
      <c r="E53" s="5">
        <f>IF(B47=0,0,CUMIPMT(Assumptions!$C$48/12,Assumptions!$C$49*12,B47,25,36,0))</f>
        <v>-124079.1555832127</v>
      </c>
      <c r="F53" s="5">
        <f>IF(B47=0,0,CUMIPMT(Assumptions!$C$48/12,Assumptions!$C$49*12,B47,37,48,0))</f>
        <v>-115676.52071267342</v>
      </c>
      <c r="G53" s="5">
        <f>IF(B47=0,0,CUMIPMT(Assumptions!$C$48/12,Assumptions!$C$49*12,B47,49,60,0))</f>
        <v>-107039.87854419246</v>
      </c>
      <c r="H53" s="5">
        <f>IF(B47=0,0,CUMIPMT(Assumptions!$C$48/12,Assumptions!$C$49*12,B47,61,72,0))</f>
        <v>-98162.7121439349</v>
      </c>
      <c r="I53" s="5">
        <f>IF(B47=0,0,CUMIPMT(Assumptions!$C$48/12,Assumptions!$C$49*12,B47,73,84,0))</f>
        <v>-89038.3230861766</v>
      </c>
      <c r="J53" s="5">
        <f>IF(B47=0,0,CUMIPMT(Assumptions!$C$48/12,Assumptions!$C$49*12,B47,85,96,0))</f>
        <v>-79659.82639888639</v>
      </c>
      <c r="K53" s="5">
        <f>IF(B47=0,0,CUMIPMT(Assumptions!$C$48/12,Assumptions!$C$49*12,B47,97,108,0))</f>
        <v>-70020.14536854651</v>
      </c>
      <c r="L53" s="5">
        <f>IF(B47=0,0,CUMIPMT(Assumptions!$C$48/12,Assumptions!$C$49*12,B47,109,120,0))</f>
        <v>-60112.00620029104</v>
      </c>
    </row>
    <row r="54" spans="1:12" x14ac:dyDescent="0.25">
      <c r="A54" t="s">
        <v>195</v>
      </c>
      <c r="C54" s="5">
        <f>IF(B47=0,0,CUMPRINC(Assumptions!$C$48/12,Assumptions!$C$49*12,B47,1,12,0))</f>
        <v>-285589.8139813051</v>
      </c>
      <c r="D54" s="5">
        <f>IF(B47=0,0,CUMPRINC(Assumptions!$C$48/12,Assumptions!$C$49*12,B47,13,24,0))</f>
        <v>-293543.2835440199</v>
      </c>
      <c r="E54" s="5">
        <f>IF(B47=0,0,CUMPRINC(Assumptions!$C$48/12,Assumptions!$C$49*12,B47,25,36,0))</f>
        <v>-301718.25147603283</v>
      </c>
      <c r="F54" s="5">
        <f>IF(B47=0,0,CUMPRINC(Assumptions!$C$48/12,Assumptions!$C$49*12,B47,37,48,0))</f>
        <v>-310120.8863465721</v>
      </c>
      <c r="G54" s="5">
        <f>IF(B47=0,0,CUMPRINC(Assumptions!$C$48/12,Assumptions!$C$49*12,B47,49,60,0))</f>
        <v>-318757.5285150531</v>
      </c>
      <c r="H54" s="5">
        <f>IF(B47=0,0,CUMPRINC(Assumptions!$C$48/12,Assumptions!$C$49*12,B47,61,72,0))</f>
        <v>-327634.69491531065</v>
      </c>
      <c r="I54" s="5">
        <f>IF(B47=0,0,CUMPRINC(Assumptions!$C$48/12,Assumptions!$C$49*12,B47,73,84,0))</f>
        <v>-336759.0839730689</v>
      </c>
      <c r="J54" s="5">
        <f>IF(B47=0,0,CUMPRINC(Assumptions!$C$48/12,Assumptions!$C$49*12,B47,85,96,0))</f>
        <v>-346137.5806603591</v>
      </c>
      <c r="K54" s="5">
        <f>IF(B47=0,0,CUMPRINC(Assumptions!$C$48/12,Assumptions!$C$49*12,B47,97,108,0))</f>
        <v>-355777.261690699</v>
      </c>
      <c r="L54" s="5">
        <f>IF(B47=0,0,CUMPRINC(Assumptions!$C$48/12,Assumptions!$C$49*12,B47,109,120,0))</f>
        <v>-365685.4008589545</v>
      </c>
    </row>
    <row r="55" spans="1:12" x14ac:dyDescent="0.25">
      <c r="A55" t="s">
        <v>225</v>
      </c>
      <c r="C55" s="5">
        <f>C52+C53+C54</f>
        <v>362562.32706758357</v>
      </c>
      <c r="D55" s="5">
        <f>D52+D53+D54</f>
        <v>450567.2614334376</v>
      </c>
      <c r="E55" s="5">
        <f>E52+E53+E54</f>
        <v>507752.4843727542</v>
      </c>
      <c r="F55" s="5">
        <f>F52+F53+F54</f>
        <v>526423.4822013943</v>
      </c>
      <c r="G55" s="5">
        <f>G52+G53+G54</f>
        <v>545467.8999866069</v>
      </c>
      <c r="H55" s="5">
        <f>H52+H53+H54</f>
        <v>564893.2061275241</v>
      </c>
      <c r="I55" s="5">
        <f>I52+I53+I54</f>
        <v>584707.0183912595</v>
      </c>
      <c r="J55" s="5">
        <f>J52+J53+J54</f>
        <v>604917.1069002699</v>
      </c>
      <c r="K55" s="5">
        <f>K52+K53+K54</f>
        <v>625531.3971794602</v>
      </c>
      <c r="L55" s="5">
        <f>L52+L53+L54</f>
        <v>646557.9732642341</v>
      </c>
    </row>
    <row r="56" spans="1:12" x14ac:dyDescent="0.25">
      <c r="A56" t="s">
        <v>226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  <c r="J56" s="5">
        <f>0</f>
        <v>0</v>
      </c>
      <c r="K56" s="5">
        <f>0</f>
        <v>0</v>
      </c>
      <c r="L56" s="5">
        <f>0</f>
        <v>0</v>
      </c>
    </row>
    <row r="57" spans="1:12" x14ac:dyDescent="0.25">
      <c r="A57" t="s">
        <v>227</v>
      </c>
      <c r="C57" s="5">
        <f>IF(1=MIN(MAX(1,ROUNDUP(vat_months/12,0)),10),-B46,0)</f>
        <v>207921</v>
      </c>
      <c r="D57" s="5">
        <f>IF(2=MIN(MAX(1,ROUNDUP(vat_months/12,0)),10),-B46,0)</f>
        <v>0</v>
      </c>
      <c r="E57" s="5">
        <f>IF(3=MIN(MAX(1,ROUNDUP(vat_months/12,0)),10),-B46,0)</f>
        <v>0</v>
      </c>
      <c r="F57" s="5">
        <f>IF(4=MIN(MAX(1,ROUNDUP(vat_months/12,0)),10),-B46,0)</f>
        <v>0</v>
      </c>
      <c r="G57" s="5">
        <f>IF(5=MIN(MAX(1,ROUNDUP(vat_months/12,0)),10),-B46,0)</f>
        <v>0</v>
      </c>
      <c r="H57" s="5">
        <f>IF(6=MIN(MAX(1,ROUNDUP(vat_months/12,0)),10),-B46,0)</f>
        <v>0</v>
      </c>
      <c r="I57" s="5">
        <f>IF(7=MIN(MAX(1,ROUNDUP(vat_months/12,0)),10),-B46,0)</f>
        <v>0</v>
      </c>
      <c r="J57" s="5">
        <f>IF(8=MIN(MAX(1,ROUNDUP(vat_months/12,0)),10),-B46,0)</f>
        <v>0</v>
      </c>
      <c r="K57" s="5">
        <f>IF(9=MIN(MAX(1,ROUNDUP(vat_months/12,0)),10),-B46,0)</f>
        <v>0</v>
      </c>
      <c r="L57" s="5">
        <f>IF(10=MIN(MAX(1,ROUNDUP(vat_months/12,0)),10),-B46,0)</f>
        <v>0</v>
      </c>
    </row>
    <row r="58" spans="1:12" x14ac:dyDescent="0.25">
      <c r="A58" t="s">
        <v>228</v>
      </c>
      <c r="C58" s="5">
        <f>C55+C56+C57</f>
        <v>570483.3270675836</v>
      </c>
      <c r="D58" s="5">
        <f>C58+D55+D56+D57</f>
        <v>1021050.5885010211</v>
      </c>
      <c r="E58" s="5">
        <f>D58+E55+E56+E57</f>
        <v>1528803.0728737754</v>
      </c>
      <c r="F58" s="5">
        <f>E58+F55+F56+F57</f>
        <v>2055226.5550751695</v>
      </c>
      <c r="G58" s="5">
        <f>F58+G55+G56+G57</f>
        <v>2600694.4550617766</v>
      </c>
      <c r="H58" s="5">
        <f>G58+H55+H56+H57</f>
        <v>3165587.661189301</v>
      </c>
      <c r="I58" s="5">
        <f>H58+I55+I56+I57</f>
        <v>3750294.6795805604</v>
      </c>
      <c r="J58" s="5">
        <f>I58+J55+J56+J57</f>
        <v>4355211.78648083</v>
      </c>
      <c r="K58" s="5">
        <f>J58+K55+K56+K57</f>
        <v>4980743.18366029</v>
      </c>
      <c r="L58" s="5">
        <f>K58+L55+L56+L57</f>
        <v>5627301.156924524</v>
      </c>
    </row>
    <row r="59" spans="1:12" x14ac:dyDescent="0.25">
      <c r="A59" t="s">
        <v>229</v>
      </c>
      <c r="C59" s="7">
        <f>IF((C53+C54)=0,0,-C52/(C53+C54))</f>
        <v>1.8514902182509922</v>
      </c>
      <c r="D59" s="7">
        <f>IF((D53+D54)=0,0,-D52/(D53+D54))</f>
        <v>2.0581728633465954</v>
      </c>
      <c r="E59" s="7">
        <f>IF((E53+E54)=0,0,-E52/(E53+E54))</f>
        <v>2.1924743456742224</v>
      </c>
      <c r="F59" s="7">
        <f>IF((F53+F54)=0,0,-F52/(F53+F54))</f>
        <v>2.236323832587707</v>
      </c>
      <c r="G59" s="7">
        <f>IF((G53+G54)=0,0,-G52/(G53+G54))</f>
        <v>2.2810503092394603</v>
      </c>
      <c r="H59" s="7">
        <f>IF((H53+H54)=0,0,-H52/(H53+H54))</f>
        <v>2.32667131542425</v>
      </c>
      <c r="I59" s="7">
        <f>IF((I53+I54)=0,0,-I52/(I53+I54))</f>
        <v>2.373204741732735</v>
      </c>
      <c r="J59" s="7">
        <f>IF((J53+J54)=0,0,-J52/(J53+J54))</f>
        <v>2.4206688365673905</v>
      </c>
      <c r="K59" s="7">
        <f>IF((K53+K54)=0,0,-K52/(K53+K54))</f>
        <v>2.469082213298738</v>
      </c>
      <c r="L59" s="7">
        <f>IF((L53+L54)=0,0,-L52/(L53+L54))</f>
        <v>2.5184638575647122</v>
      </c>
    </row>
    <row r="61" spans="1:12" x14ac:dyDescent="0.25">
      <c r="A61" t="s">
        <v>26</v>
      </c>
      <c r="C61" s="5">
        <f>IF(1=10,'P&amp;L'!L31/cap,0)</f>
        <v>0</v>
      </c>
      <c r="D61" s="5">
        <f>IF(2=10,'P&amp;L'!L31/cap,0)</f>
        <v>0</v>
      </c>
      <c r="E61" s="5">
        <f>IF(3=10,'P&amp;L'!L31/cap,0)</f>
        <v>0</v>
      </c>
      <c r="F61" s="5">
        <f>IF(4=10,'P&amp;L'!L31/cap,0)</f>
        <v>0</v>
      </c>
      <c r="G61" s="5">
        <f>IF(5=10,'P&amp;L'!L31/cap,0)</f>
        <v>0</v>
      </c>
      <c r="H61" s="5">
        <f>IF(6=10,'P&amp;L'!L31/cap,0)</f>
        <v>0</v>
      </c>
      <c r="I61" s="5">
        <f>IF(7=10,'P&amp;L'!L31/cap,0)</f>
        <v>0</v>
      </c>
      <c r="J61" s="5">
        <f>IF(8=10,'P&amp;L'!L31/cap,0)</f>
        <v>0</v>
      </c>
      <c r="K61" s="5">
        <f>IF(9=10,'P&amp;L'!L31/cap,0)</f>
        <v>0</v>
      </c>
      <c r="L61" s="5">
        <f>IF(10=10,'P&amp;L'!L31/cap,0)</f>
        <v>15319362.576049708</v>
      </c>
    </row>
    <row r="62" spans="1:12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0</v>
      </c>
      <c r="J62" s="5">
        <f>-J61*sell_pct</f>
        <v>0</v>
      </c>
      <c r="K62" s="5">
        <f>-K61*sell_pct</f>
        <v>0</v>
      </c>
      <c r="L62" s="5">
        <f>-L61*sell_pct</f>
        <v>-306387.25152099505</v>
      </c>
    </row>
    <row r="63" spans="1:12" x14ac:dyDescent="0.25">
      <c r="A63" t="s">
        <v>28</v>
      </c>
      <c r="C63" s="5">
        <f>IF(1&lt;10,0,IF(B47=0,0,-(B47+CUMPRINC(Assumptions!$C$48/12,Assumptions!$C$49*12,B47,1,120,0))))</f>
        <v>0</v>
      </c>
      <c r="D63" s="5">
        <f>IF(2&lt;10,0,IF(B47=0,0,-(B47+CUMPRINC(Assumptions!$C$48/12,Assumptions!$C$49*12,B47,1,120,0))))</f>
        <v>0</v>
      </c>
      <c r="E63" s="5">
        <f>IF(3&lt;10,0,IF(B47=0,0,-(B47+CUMPRINC(Assumptions!$C$48/12,Assumptions!$C$49*12,B47,1,120,0))))</f>
        <v>0</v>
      </c>
      <c r="F63" s="5">
        <f>IF(4&lt;10,0,IF(B47=0,0,-(B47+CUMPRINC(Assumptions!$C$48/12,Assumptions!$C$49*12,B47,1,120,0))))</f>
        <v>0</v>
      </c>
      <c r="G63" s="5">
        <f>IF(5&lt;10,0,IF(B47=0,0,-(B47+CUMPRINC(Assumptions!$C$48/12,Assumptions!$C$49*12,B47,1,120,0))))</f>
        <v>0</v>
      </c>
      <c r="H63" s="5">
        <f>IF(6&lt;10,0,IF(B47=0,0,-(B47+CUMPRINC(Assumptions!$C$48/12,Assumptions!$C$49*12,B47,1,120,0))))</f>
        <v>0</v>
      </c>
      <c r="I63" s="5">
        <f>IF(7&lt;10,0,IF(B47=0,0,-(B47+CUMPRINC(Assumptions!$C$48/12,Assumptions!$C$49*12,B47,1,120,0))))</f>
        <v>0</v>
      </c>
      <c r="J63" s="5">
        <f>IF(8&lt;10,0,IF(B47=0,0,-(B47+CUMPRINC(Assumptions!$C$48/12,Assumptions!$C$49*12,B47,1,120,0))))</f>
        <v>0</v>
      </c>
      <c r="K63" s="5">
        <f>IF(9&lt;10,0,IF(B47=0,0,-(B47+CUMPRINC(Assumptions!$C$48/12,Assumptions!$C$49*12,B47,1,120,0))))</f>
        <v>0</v>
      </c>
      <c r="L63" s="5">
        <f>IF(10&lt;10,0,IF(B47=0,0,-(B47+CUMPRINC(Assumptions!$C$48/12,Assumptions!$C$49*12,B47,1,120,0))))</f>
        <v>-1986980.2956712737</v>
      </c>
    </row>
    <row r="64" spans="1:12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0</v>
      </c>
      <c r="J64" s="5">
        <f>J61+J62+J63</f>
        <v>0</v>
      </c>
      <c r="K64" s="5">
        <f>K61+K62+K63</f>
        <v>0</v>
      </c>
      <c r="L64" s="5">
        <f>L61+L62+L63</f>
        <v>13025995.02885744</v>
      </c>
    </row>
    <row r="66" spans="1:12" x14ac:dyDescent="0.25">
      <c r="A66" t="s">
        <v>204</v>
      </c>
      <c r="C66" s="5">
        <f>290049.86165406683</f>
        <v>290049.86165406683</v>
      </c>
      <c r="D66" s="5">
        <f>360453.80914675</f>
        <v>360453.80914675</v>
      </c>
      <c r="E66" s="5">
        <f>406201.9874982033</f>
        <v>406201.9874982033</v>
      </c>
      <c r="F66" s="5">
        <f>421138.7857611154</f>
        <v>421138.7857611154</v>
      </c>
      <c r="G66" s="5">
        <f>436374.3199892855</f>
        <v>436374.3199892855</v>
      </c>
      <c r="H66" s="5">
        <f>451914.5649020193</f>
        <v>451914.5649020193</v>
      </c>
      <c r="I66" s="5">
        <f>467765.6147130075</f>
        <v>467765.6147130075</v>
      </c>
      <c r="J66" s="5">
        <f>483933.68552021583</f>
        <v>483933.68552021583</v>
      </c>
      <c r="K66" s="5">
        <f>500425.1177435681</f>
        <v>500425.1177435681</v>
      </c>
      <c r="L66" s="5">
        <f>517246.3786113873</f>
        <v>517246.3786113873</v>
      </c>
    </row>
    <row r="67" spans="1:12" x14ac:dyDescent="0.25">
      <c r="A67" t="s">
        <v>205</v>
      </c>
      <c r="C67" s="5">
        <f>72512.46541351674</f>
        <v>72512.46541351674</v>
      </c>
      <c r="D67" s="5">
        <f>90113.45228668756</f>
        <v>90113.45228668756</v>
      </c>
      <c r="E67" s="5">
        <f>101550.49687455088</f>
        <v>101550.49687455088</v>
      </c>
      <c r="F67" s="5">
        <f>105284.6964402789</f>
        <v>105284.6964402789</v>
      </c>
      <c r="G67" s="5">
        <f>109093.57999732142</f>
        <v>109093.57999732142</v>
      </c>
      <c r="H67" s="5">
        <f>112978.64122550486</f>
        <v>112978.64122550486</v>
      </c>
      <c r="I67" s="5">
        <f>116941.40367825195</f>
        <v>116941.40367825195</v>
      </c>
      <c r="J67" s="5">
        <f>120983.42138005403</f>
        <v>120983.42138005403</v>
      </c>
      <c r="K67" s="5">
        <f>125106.27943589207</f>
        <v>125106.27943589207</v>
      </c>
      <c r="L67" s="5">
        <f>129311.59465284686</f>
        <v>129311.59465284686</v>
      </c>
    </row>
    <row r="68" spans="1:12" x14ac:dyDescent="0.25">
      <c r="A68" t="s">
        <v>230</v>
      </c>
      <c r="C68" s="5">
        <f>IF(1=10,8503931.498942958,0)</f>
        <v>0</v>
      </c>
      <c r="D68" s="5">
        <f>IF(2=10,8503931.498942958,0)</f>
        <v>0</v>
      </c>
      <c r="E68" s="5">
        <f>IF(3=10,8503931.498942958,0)</f>
        <v>0</v>
      </c>
      <c r="F68" s="5">
        <f>IF(4=10,8503931.498942958,0)</f>
        <v>0</v>
      </c>
      <c r="G68" s="5">
        <f>IF(5=10,8503931.498942958,0)</f>
        <v>0</v>
      </c>
      <c r="H68" s="5">
        <f>IF(6=10,8503931.498942958,0)</f>
        <v>0</v>
      </c>
      <c r="I68" s="5">
        <f>IF(7=10,8503931.498942958,0)</f>
        <v>0</v>
      </c>
      <c r="J68" s="5">
        <f>IF(8=10,8503931.498942958,0)</f>
        <v>0</v>
      </c>
      <c r="K68" s="5">
        <f>IF(9=10,8503931.498942958,0)</f>
        <v>0</v>
      </c>
      <c r="L68" s="5">
        <f>IF(10=10,8503931.498942958,0)</f>
        <v>8503931.498942958</v>
      </c>
    </row>
    <row r="69" spans="1:12" x14ac:dyDescent="0.25">
      <c r="A69" t="s">
        <v>231</v>
      </c>
      <c r="C69" s="5">
        <f>IF(1=10,4522063.529914482,0)</f>
        <v>0</v>
      </c>
      <c r="D69" s="5">
        <f>IF(2=10,4522063.529914482,0)</f>
        <v>0</v>
      </c>
      <c r="E69" s="5">
        <f>IF(3=10,4522063.529914482,0)</f>
        <v>0</v>
      </c>
      <c r="F69" s="5">
        <f>IF(4=10,4522063.529914482,0)</f>
        <v>0</v>
      </c>
      <c r="G69" s="5">
        <f>IF(5=10,4522063.529914482,0)</f>
        <v>0</v>
      </c>
      <c r="H69" s="5">
        <f>IF(6=10,4522063.529914482,0)</f>
        <v>0</v>
      </c>
      <c r="I69" s="5">
        <f>IF(7=10,4522063.529914482,0)</f>
        <v>0</v>
      </c>
      <c r="J69" s="5">
        <f>IF(8=10,4522063.529914482,0)</f>
        <v>0</v>
      </c>
      <c r="K69" s="5">
        <f>IF(9=10,4522063.529914482,0)</f>
        <v>0</v>
      </c>
      <c r="L69" s="5">
        <f>IF(10=10,4522063.529914482,0)</f>
        <v>4522063.529914482</v>
      </c>
    </row>
    <row r="70" spans="1:12" x14ac:dyDescent="0.25">
      <c r="A70" t="s">
        <v>232</v>
      </c>
      <c r="C70" s="5">
        <f>(C56+C57)*(1-gp_pct)</f>
        <v>166336.80000000002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  <c r="J70" s="5">
        <f>(J56+J57)*(1-gp_pct)</f>
        <v>0</v>
      </c>
      <c r="K70" s="5">
        <f>(K56+K57)*(1-gp_pct)</f>
        <v>0</v>
      </c>
      <c r="L70" s="5">
        <f>(L56+L57)*(1-gp_pct)</f>
        <v>0</v>
      </c>
    </row>
    <row r="71" spans="1:12" x14ac:dyDescent="0.25">
      <c r="A71" t="s">
        <v>233</v>
      </c>
      <c r="C71" s="5">
        <f>(C56+C57)*gp_pct</f>
        <v>41584.19999999999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  <c r="J71" s="5">
        <f>(J56+J57)*gp_pct</f>
        <v>0</v>
      </c>
      <c r="K71" s="5">
        <f>(K56+K57)*gp_pct</f>
        <v>0</v>
      </c>
      <c r="L71" s="5">
        <f>(L56+L57)*gp_pct</f>
        <v>0</v>
      </c>
    </row>
    <row r="72" spans="1:12" x14ac:dyDescent="0.25">
      <c r="A72" s="3" t="s">
        <v>234</v>
      </c>
      <c r="C72" s="5">
        <f>SUM(C66:C71)</f>
        <v>570483.3270675836</v>
      </c>
      <c r="D72" s="5">
        <f>SUM(D66:D71)</f>
        <v>450567.2614334376</v>
      </c>
      <c r="E72" s="5">
        <f>SUM(E66:E71)</f>
        <v>507752.4843727542</v>
      </c>
      <c r="F72" s="5">
        <f>SUM(F66:F71)</f>
        <v>526423.4822013943</v>
      </c>
      <c r="G72" s="5">
        <f>SUM(G66:G71)</f>
        <v>545467.8999866069</v>
      </c>
      <c r="H72" s="5">
        <f>SUM(H66:H71)</f>
        <v>564893.2061275241</v>
      </c>
      <c r="I72" s="5">
        <f>SUM(I66:I71)</f>
        <v>584707.0183912595</v>
      </c>
      <c r="J72" s="5">
        <f>SUM(J66:J71)</f>
        <v>604917.1069002699</v>
      </c>
      <c r="K72" s="5">
        <f>SUM(K66:K71)</f>
        <v>625531.3971794602</v>
      </c>
      <c r="L72" s="5">
        <f>SUM(L66:L71)</f>
        <v>13672553.002121674</v>
      </c>
    </row>
    <row r="74" spans="1:12" x14ac:dyDescent="0.25">
      <c r="A74" t="s">
        <v>235</v>
      </c>
      <c r="C74" s="5">
        <f>C55+C56+C57+C64</f>
        <v>570483.3270675836</v>
      </c>
      <c r="D74" s="5">
        <f>D55+D56+D57+D64</f>
        <v>450567.2614334376</v>
      </c>
      <c r="E74" s="5">
        <f>E55+E56+E57+E64</f>
        <v>507752.4843727542</v>
      </c>
      <c r="F74" s="5">
        <f>F55+F56+F57+F64</f>
        <v>526423.4822013943</v>
      </c>
      <c r="G74" s="5">
        <f>G55+G56+G57+G64</f>
        <v>545467.8999866069</v>
      </c>
      <c r="H74" s="5">
        <f>H55+H56+H57+H64</f>
        <v>564893.2061275241</v>
      </c>
      <c r="I74" s="5">
        <f>I55+I56+I57+I64</f>
        <v>584707.0183912595</v>
      </c>
      <c r="J74" s="5">
        <f>J55+J56+J57+J64</f>
        <v>604917.1069002699</v>
      </c>
      <c r="K74" s="5">
        <f>K55+K56+K57+K64</f>
        <v>625531.3971794602</v>
      </c>
      <c r="L74" s="5">
        <f>L55+L56+L57+L64</f>
        <v>13672553.002121674</v>
      </c>
    </row>
    <row r="75" spans="1:12" x14ac:dyDescent="0.25">
      <c r="A75" t="s">
        <v>236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  <c r="J75" s="5">
        <f>J74-J72</f>
        <v>0</v>
      </c>
      <c r="K75" s="5">
        <f>K74-K72</f>
        <v>0</v>
      </c>
      <c r="L75" s="5">
        <f>L74-L72</f>
        <v>0</v>
      </c>
    </row>
    <row r="77" spans="1:12" x14ac:dyDescent="0.25">
      <c r="A77" t="s">
        <v>237</v>
      </c>
      <c r="B77" s="5">
        <f>-B48</f>
        <v>-3684952.0367346937</v>
      </c>
      <c r="C77" s="5">
        <f>C66+C68+C70</f>
        <v>456386.6616540669</v>
      </c>
      <c r="D77" s="5">
        <f>D66+D68+D70</f>
        <v>360453.80914675</v>
      </c>
      <c r="E77" s="5">
        <f>E66+E68+E70</f>
        <v>406201.9874982033</v>
      </c>
      <c r="F77" s="5">
        <f>F66+F68+F70</f>
        <v>421138.7857611154</v>
      </c>
      <c r="G77" s="5">
        <f>G66+G68+G70</f>
        <v>436374.3199892855</v>
      </c>
      <c r="H77" s="5">
        <f>H66+H68+H70</f>
        <v>451914.5649020193</v>
      </c>
      <c r="I77" s="5">
        <f>I66+I68+I70</f>
        <v>467765.6147130075</v>
      </c>
      <c r="J77" s="5">
        <f>J66+J68+J70</f>
        <v>483933.68552021583</v>
      </c>
      <c r="K77" s="5">
        <f>K66+K68+K70</f>
        <v>500425.1177435681</v>
      </c>
      <c r="L77" s="5">
        <f>L66+L68+L70</f>
        <v>9021177.877554346</v>
      </c>
    </row>
    <row r="78" spans="1:12" x14ac:dyDescent="0.25">
      <c r="A78" t="s">
        <v>238</v>
      </c>
      <c r="B78" s="5">
        <f>B77</f>
        <v>-3684952.0367346937</v>
      </c>
      <c r="C78" s="5">
        <f>B78+C77</f>
        <v>-3228565.375080627</v>
      </c>
      <c r="D78" s="5">
        <f>C78+D77</f>
        <v>-2868111.5659338767</v>
      </c>
      <c r="E78" s="5">
        <f>D78+E77</f>
        <v>-2461909.5784356734</v>
      </c>
      <c r="F78" s="5">
        <f>E78+F77</f>
        <v>-2040770.792674558</v>
      </c>
      <c r="G78" s="5">
        <f>F78+G77</f>
        <v>-1604396.4726852726</v>
      </c>
      <c r="H78" s="5">
        <f>G78+H77</f>
        <v>-1152481.9077832534</v>
      </c>
      <c r="I78" s="5">
        <f>H78+I77</f>
        <v>-684716.2930702458</v>
      </c>
      <c r="J78" s="5">
        <f>I78+J77</f>
        <v>-200782.60755002993</v>
      </c>
      <c r="K78" s="5">
        <f>J78+K77</f>
        <v>299642.51019353815</v>
      </c>
      <c r="L78" s="5">
        <f>K78+L77</f>
        <v>9320820.387747884</v>
      </c>
    </row>
    <row r="81" spans="1:1" x14ac:dyDescent="0.25">
      <c r="A81" s="3" t="s">
        <v>240</v>
      </c>
    </row>
    <row r="82" spans="2:12" x14ac:dyDescent="0.25">
      <c r="B82" s="3" t="s">
        <v>219</v>
      </c>
      <c r="C82" s="3" t="s">
        <v>152</v>
      </c>
      <c r="D82" s="3" t="s">
        <v>153</v>
      </c>
      <c r="E82" s="3" t="s">
        <v>154</v>
      </c>
      <c r="F82" s="3" t="s">
        <v>155</v>
      </c>
      <c r="G82" s="3" t="s">
        <v>156</v>
      </c>
      <c r="H82" s="3" t="s">
        <v>157</v>
      </c>
      <c r="I82" s="3" t="s">
        <v>158</v>
      </c>
      <c r="J82" s="3" t="s">
        <v>159</v>
      </c>
      <c r="K82" s="3" t="s">
        <v>160</v>
      </c>
      <c r="L82" s="3" t="s">
        <v>161</v>
      </c>
    </row>
    <row r="83" spans="1:2" x14ac:dyDescent="0.25">
      <c r="A83" t="s">
        <v>220</v>
      </c>
      <c r="B83" s="5">
        <f>-IF(Assumptions!$D$47&gt;0,tpc,cost_base)</f>
        <v>-9506734.693877554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-139727.2397959184</v>
      </c>
    </row>
    <row r="85" spans="1:2" x14ac:dyDescent="0.25">
      <c r="A85" t="s">
        <v>17</v>
      </c>
      <c r="B85" s="5">
        <f>-vat_float</f>
        <v>-207921</v>
      </c>
    </row>
    <row r="86" spans="1:2" x14ac:dyDescent="0.25">
      <c r="A86" t="s">
        <v>221</v>
      </c>
      <c r="B86" s="5">
        <f>Assumptions!$D$47*tpc</f>
        <v>6179377.551020409</v>
      </c>
    </row>
    <row r="87" spans="1:2" x14ac:dyDescent="0.25">
      <c r="A87" t="s">
        <v>222</v>
      </c>
      <c r="B87" s="5">
        <f>(-(B83+B86+B84)-B85)*(1-gp_pct)</f>
        <v>2940004.306122449</v>
      </c>
    </row>
    <row r="88" spans="1:2" x14ac:dyDescent="0.25">
      <c r="A88" t="s">
        <v>223</v>
      </c>
      <c r="B88" s="5">
        <f>(-(B83+B86+B84)-B85)*gp_pct</f>
        <v>735001.0765306123</v>
      </c>
    </row>
    <row r="89" spans="1:2" x14ac:dyDescent="0.25">
      <c r="A89" s="3" t="s">
        <v>224</v>
      </c>
      <c r="B89" s="5">
        <f>SUM(B83:B88)</f>
        <v>0</v>
      </c>
    </row>
    <row r="91" spans="1:12" x14ac:dyDescent="0.25">
      <c r="A91" t="s">
        <v>189</v>
      </c>
      <c r="C91" s="5">
        <f>'P&amp;L'!C31</f>
        <v>788359.7341268291</v>
      </c>
      <c r="D91" s="5">
        <f>'P&amp;L'!D31</f>
        <v>876364.6684926831</v>
      </c>
      <c r="E91" s="5">
        <f>'P&amp;L'!E31</f>
        <v>933549.8914319997</v>
      </c>
      <c r="F91" s="5">
        <f>'P&amp;L'!F31</f>
        <v>952220.8892606398</v>
      </c>
      <c r="G91" s="5">
        <f>'P&amp;L'!G31</f>
        <v>971265.3070458524</v>
      </c>
      <c r="H91" s="5">
        <f>'P&amp;L'!H31</f>
        <v>990690.6131867697</v>
      </c>
      <c r="I91" s="5">
        <f>'P&amp;L'!I31</f>
        <v>1010504.4254505051</v>
      </c>
      <c r="J91" s="5">
        <f>'P&amp;L'!J31</f>
        <v>1030714.5139595154</v>
      </c>
      <c r="K91" s="5">
        <f>'P&amp;L'!K31</f>
        <v>1051328.8042387057</v>
      </c>
      <c r="L91" s="5">
        <f>'P&amp;L'!L31</f>
        <v>1072355.3803234797</v>
      </c>
    </row>
    <row r="92" spans="1:12" x14ac:dyDescent="0.25">
      <c r="A92" t="s">
        <v>194</v>
      </c>
      <c r="C92" s="5">
        <f>IF(B86=0,0,CUMIPMT(Assumptions!$D$48/12,Assumptions!$D$49*12,B86,1,12,0))</f>
        <v>-165699.882728475</v>
      </c>
      <c r="D92" s="5">
        <f>IF(B86=0,0,CUMIPMT(Assumptions!$D$48/12,Assumptions!$D$49*12,B86,13,24,0))</f>
        <v>-156300.32779072123</v>
      </c>
      <c r="E92" s="5">
        <f>IF(B86=0,0,CUMIPMT(Assumptions!$D$48/12,Assumptions!$D$49*12,B86,25,36,0))</f>
        <v>-146639.00205288784</v>
      </c>
      <c r="F92" s="5">
        <f>IF(B86=0,0,CUMIPMT(Assumptions!$D$48/12,Assumptions!$D$49*12,B86,37,48,0))</f>
        <v>-136708.6153877051</v>
      </c>
      <c r="G92" s="5">
        <f>IF(B86=0,0,CUMIPMT(Assumptions!$D$48/12,Assumptions!$D$49*12,B86,49,60,0))</f>
        <v>-126501.67464313672</v>
      </c>
      <c r="H92" s="5">
        <f>IF(B86=0,0,CUMIPMT(Assumptions!$D$48/12,Assumptions!$D$49*12,B86,61,72,0))</f>
        <v>-116010.4779882869</v>
      </c>
      <c r="I92" s="5">
        <f>IF(B86=0,0,CUMIPMT(Assumptions!$D$48/12,Assumptions!$D$49*12,B86,73,84,0))</f>
        <v>-105227.10910184529</v>
      </c>
      <c r="J92" s="5">
        <f>IF(B86=0,0,CUMIPMT(Assumptions!$D$48/12,Assumptions!$D$49*12,B86,85,96,0))</f>
        <v>-94143.43119868415</v>
      </c>
      <c r="K92" s="5">
        <f>IF(B86=0,0,CUMIPMT(Assumptions!$D$48/12,Assumptions!$D$49*12,B86,97,108,0))</f>
        <v>-82751.08089010068</v>
      </c>
      <c r="L92" s="5">
        <f>IF(B86=0,0,CUMIPMT(Assumptions!$D$48/12,Assumptions!$D$49*12,B86,109,120,0))</f>
        <v>-71041.46187307147</v>
      </c>
    </row>
    <row r="93" spans="1:12" x14ac:dyDescent="0.25">
      <c r="A93" t="s">
        <v>195</v>
      </c>
      <c r="C93" s="5">
        <f>IF(B86=0,0,CUMPRINC(Assumptions!$D$48/12,Assumptions!$D$49*12,B86,1,12,0))</f>
        <v>-337515.23470517865</v>
      </c>
      <c r="D93" s="5">
        <f>IF(B86=0,0,CUMPRINC(Assumptions!$D$48/12,Assumptions!$D$49*12,B86,13,24,0))</f>
        <v>-346914.7896429326</v>
      </c>
      <c r="E93" s="5">
        <f>IF(B86=0,0,CUMPRINC(Assumptions!$D$48/12,Assumptions!$D$49*12,B86,25,36,0))</f>
        <v>-356576.1153807659</v>
      </c>
      <c r="F93" s="5">
        <f>IF(B86=0,0,CUMPRINC(Assumptions!$D$48/12,Assumptions!$D$49*12,B86,37,48,0))</f>
        <v>-366506.50204594864</v>
      </c>
      <c r="G93" s="5">
        <f>IF(B86=0,0,CUMPRINC(Assumptions!$D$48/12,Assumptions!$D$49*12,B86,49,60,0))</f>
        <v>-376713.442790517</v>
      </c>
      <c r="H93" s="5">
        <f>IF(B86=0,0,CUMPRINC(Assumptions!$D$48/12,Assumptions!$D$49*12,B86,61,72,0))</f>
        <v>-387204.6394453668</v>
      </c>
      <c r="I93" s="5">
        <f>IF(B86=0,0,CUMPRINC(Assumptions!$D$48/12,Assumptions!$D$49*12,B86,73,84,0))</f>
        <v>-397988.0083318085</v>
      </c>
      <c r="J93" s="5">
        <f>IF(B86=0,0,CUMPRINC(Assumptions!$D$48/12,Assumptions!$D$49*12,B86,85,96,0))</f>
        <v>-409071.6862349696</v>
      </c>
      <c r="K93" s="5">
        <f>IF(B86=0,0,CUMPRINC(Assumptions!$D$48/12,Assumptions!$D$49*12,B86,97,108,0))</f>
        <v>-420464.03654355305</v>
      </c>
      <c r="L93" s="5">
        <f>IF(B86=0,0,CUMPRINC(Assumptions!$D$48/12,Assumptions!$D$49*12,B86,109,120,0))</f>
        <v>-432173.65556058224</v>
      </c>
    </row>
    <row r="94" spans="1:12" x14ac:dyDescent="0.25">
      <c r="A94" t="s">
        <v>225</v>
      </c>
      <c r="C94" s="5">
        <f>C91+C92+C93</f>
        <v>285144.6166931754</v>
      </c>
      <c r="D94" s="5">
        <f>D91+D92+D93</f>
        <v>373149.5510590293</v>
      </c>
      <c r="E94" s="5">
        <f>E91+E92+E93</f>
        <v>430334.773998346</v>
      </c>
      <c r="F94" s="5">
        <f>F91+F92+F93</f>
        <v>449005.7718269861</v>
      </c>
      <c r="G94" s="5">
        <f>G91+G92+G93</f>
        <v>468050.18961219874</v>
      </c>
      <c r="H94" s="5">
        <f>H91+H92+H93</f>
        <v>487475.495753116</v>
      </c>
      <c r="I94" s="5">
        <f>I91+I92+I93</f>
        <v>507289.3080168513</v>
      </c>
      <c r="J94" s="5">
        <f>J91+J92+J93</f>
        <v>527499.3965258617</v>
      </c>
      <c r="K94" s="5">
        <f>K91+K92+K93</f>
        <v>548113.686805052</v>
      </c>
      <c r="L94" s="5">
        <f>L91+L92+L93</f>
        <v>569140.262889826</v>
      </c>
    </row>
    <row r="95" spans="1:12" x14ac:dyDescent="0.25">
      <c r="A95" t="s">
        <v>226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  <c r="J95" s="5">
        <f>0</f>
        <v>0</v>
      </c>
      <c r="K95" s="5">
        <f>0</f>
        <v>0</v>
      </c>
      <c r="L95" s="5">
        <f>0</f>
        <v>0</v>
      </c>
    </row>
    <row r="96" spans="1:12" x14ac:dyDescent="0.25">
      <c r="A96" t="s">
        <v>227</v>
      </c>
      <c r="C96" s="5">
        <f>IF(1=MIN(MAX(1,ROUNDUP(vat_months/12,0)),10),-B85,0)</f>
        <v>207921</v>
      </c>
      <c r="D96" s="5">
        <f>IF(2=MIN(MAX(1,ROUNDUP(vat_months/12,0)),10),-B85,0)</f>
        <v>0</v>
      </c>
      <c r="E96" s="5">
        <f>IF(3=MIN(MAX(1,ROUNDUP(vat_months/12,0)),10),-B85,0)</f>
        <v>0</v>
      </c>
      <c r="F96" s="5">
        <f>IF(4=MIN(MAX(1,ROUNDUP(vat_months/12,0)),10),-B85,0)</f>
        <v>0</v>
      </c>
      <c r="G96" s="5">
        <f>IF(5=MIN(MAX(1,ROUNDUP(vat_months/12,0)),10),-B85,0)</f>
        <v>0</v>
      </c>
      <c r="H96" s="5">
        <f>IF(6=MIN(MAX(1,ROUNDUP(vat_months/12,0)),10),-B85,0)</f>
        <v>0</v>
      </c>
      <c r="I96" s="5">
        <f>IF(7=MIN(MAX(1,ROUNDUP(vat_months/12,0)),10),-B85,0)</f>
        <v>0</v>
      </c>
      <c r="J96" s="5">
        <f>IF(8=MIN(MAX(1,ROUNDUP(vat_months/12,0)),10),-B85,0)</f>
        <v>0</v>
      </c>
      <c r="K96" s="5">
        <f>IF(9=MIN(MAX(1,ROUNDUP(vat_months/12,0)),10),-B85,0)</f>
        <v>0</v>
      </c>
      <c r="L96" s="5">
        <f>IF(10=MIN(MAX(1,ROUNDUP(vat_months/12,0)),10),-B85,0)</f>
        <v>0</v>
      </c>
    </row>
    <row r="97" spans="1:12" x14ac:dyDescent="0.25">
      <c r="A97" t="s">
        <v>228</v>
      </c>
      <c r="C97" s="5">
        <f>C94+C95+C96</f>
        <v>493065.6166931754</v>
      </c>
      <c r="D97" s="5">
        <f>C97+D94+D95+D96</f>
        <v>866215.1677522047</v>
      </c>
      <c r="E97" s="5">
        <f>D97+E94+E95+E96</f>
        <v>1296549.9417505506</v>
      </c>
      <c r="F97" s="5">
        <f>E97+F94+F95+F96</f>
        <v>1745555.7135775369</v>
      </c>
      <c r="G97" s="5">
        <f>F97+G94+G95+G96</f>
        <v>2213605.9031897355</v>
      </c>
      <c r="H97" s="5">
        <f>G97+H94+H95+H96</f>
        <v>2701081.3989428515</v>
      </c>
      <c r="I97" s="5">
        <f>H97+I94+I95+I96</f>
        <v>3208370.706959703</v>
      </c>
      <c r="J97" s="5">
        <f>I97+J94+J95+J96</f>
        <v>3735870.1034855647</v>
      </c>
      <c r="K97" s="5">
        <f>J97+K94+K95+K96</f>
        <v>4283983.790290616</v>
      </c>
      <c r="L97" s="5">
        <f>K97+L94+L95+L96</f>
        <v>4853124.053180442</v>
      </c>
    </row>
    <row r="98" spans="1:12" x14ac:dyDescent="0.25">
      <c r="A98" t="s">
        <v>229</v>
      </c>
      <c r="C98" s="7">
        <f>IF((C92+C93)=0,0,-C91/(C92+C93))</f>
        <v>1.5666455692893015</v>
      </c>
      <c r="D98" s="7">
        <f>IF((D92+D93)=0,0,-D91/(D92+D93))</f>
        <v>1.741530884370196</v>
      </c>
      <c r="E98" s="7">
        <f>IF((E92+E93)=0,0,-E91/(E92+E93))</f>
        <v>1.8551706001858803</v>
      </c>
      <c r="F98" s="7">
        <f>IF((F92+F93)=0,0,-F91/(F92+F93))</f>
        <v>1.8922740121895982</v>
      </c>
      <c r="G98" s="7">
        <f>IF((G92+G93)=0,0,-G91/(G92+G93))</f>
        <v>1.9301194924333898</v>
      </c>
      <c r="H98" s="7">
        <f>IF((H92+H93)=0,0,-H91/(H92+H93))</f>
        <v>1.9687218822820582</v>
      </c>
      <c r="I98" s="7">
        <f>IF((I92+I93)=0,0,-I91/(I92+I93))</f>
        <v>2.008096319927699</v>
      </c>
      <c r="J98" s="7">
        <f>IF((J92+J93)=0,0,-J91/(J92+J93))</f>
        <v>2.0482582463262538</v>
      </c>
      <c r="K98" s="7">
        <f>IF((K92+K93)=0,0,-K91/(K92+K93))</f>
        <v>2.0892234112527786</v>
      </c>
      <c r="L98" s="7">
        <f>IF((L92+L93)=0,0,-L91/(L92+L93))</f>
        <v>2.1310078794778344</v>
      </c>
    </row>
    <row r="100" spans="1:12" x14ac:dyDescent="0.25">
      <c r="A100" t="s">
        <v>26</v>
      </c>
      <c r="C100" s="5">
        <f>IF(1=10,'P&amp;L'!L31/cap,0)</f>
        <v>0</v>
      </c>
      <c r="D100" s="5">
        <f>IF(2=10,'P&amp;L'!L31/cap,0)</f>
        <v>0</v>
      </c>
      <c r="E100" s="5">
        <f>IF(3=10,'P&amp;L'!L31/cap,0)</f>
        <v>0</v>
      </c>
      <c r="F100" s="5">
        <f>IF(4=10,'P&amp;L'!L31/cap,0)</f>
        <v>0</v>
      </c>
      <c r="G100" s="5">
        <f>IF(5=10,'P&amp;L'!L31/cap,0)</f>
        <v>0</v>
      </c>
      <c r="H100" s="5">
        <f>IF(6=10,'P&amp;L'!L31/cap,0)</f>
        <v>0</v>
      </c>
      <c r="I100" s="5">
        <f>IF(7=10,'P&amp;L'!L31/cap,0)</f>
        <v>0</v>
      </c>
      <c r="J100" s="5">
        <f>IF(8=10,'P&amp;L'!L31/cap,0)</f>
        <v>0</v>
      </c>
      <c r="K100" s="5">
        <f>IF(9=10,'P&amp;L'!L31/cap,0)</f>
        <v>0</v>
      </c>
      <c r="L100" s="5">
        <f>IF(10=10,'P&amp;L'!L31/cap,0)</f>
        <v>15319362.576049708</v>
      </c>
    </row>
    <row r="101" spans="1:12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0</v>
      </c>
      <c r="J101" s="5">
        <f>-J100*sell_pct</f>
        <v>0</v>
      </c>
      <c r="K101" s="5">
        <f>-K100*sell_pct</f>
        <v>0</v>
      </c>
      <c r="L101" s="5">
        <f>-L100*sell_pct</f>
        <v>-306387.25152099505</v>
      </c>
    </row>
    <row r="102" spans="1:12" x14ac:dyDescent="0.25">
      <c r="A102" t="s">
        <v>28</v>
      </c>
      <c r="C102" s="5">
        <f>IF(1&lt;10,0,IF(B86=0,0,-(B86+CUMPRINC(Assumptions!$D$48/12,Assumptions!$D$49*12,B86,1,120,0))))</f>
        <v>0</v>
      </c>
      <c r="D102" s="5">
        <f>IF(2&lt;10,0,IF(B86=0,0,-(B86+CUMPRINC(Assumptions!$D$48/12,Assumptions!$D$49*12,B86,1,120,0))))</f>
        <v>0</v>
      </c>
      <c r="E102" s="5">
        <f>IF(3&lt;10,0,IF(B86=0,0,-(B86+CUMPRINC(Assumptions!$D$48/12,Assumptions!$D$49*12,B86,1,120,0))))</f>
        <v>0</v>
      </c>
      <c r="F102" s="5">
        <f>IF(4&lt;10,0,IF(B86=0,0,-(B86+CUMPRINC(Assumptions!$D$48/12,Assumptions!$D$49*12,B86,1,120,0))))</f>
        <v>0</v>
      </c>
      <c r="G102" s="5">
        <f>IF(5&lt;10,0,IF(B86=0,0,-(B86+CUMPRINC(Assumptions!$D$48/12,Assumptions!$D$49*12,B86,1,120,0))))</f>
        <v>0</v>
      </c>
      <c r="H102" s="5">
        <f>IF(6&lt;10,0,IF(B86=0,0,-(B86+CUMPRINC(Assumptions!$D$48/12,Assumptions!$D$49*12,B86,1,120,0))))</f>
        <v>0</v>
      </c>
      <c r="I102" s="5">
        <f>IF(7&lt;10,0,IF(B86=0,0,-(B86+CUMPRINC(Assumptions!$D$48/12,Assumptions!$D$49*12,B86,1,120,0))))</f>
        <v>0</v>
      </c>
      <c r="J102" s="5">
        <f>IF(8&lt;10,0,IF(B86=0,0,-(B86+CUMPRINC(Assumptions!$D$48/12,Assumptions!$D$49*12,B86,1,120,0))))</f>
        <v>0</v>
      </c>
      <c r="K102" s="5">
        <f>IF(9&lt;10,0,IF(B86=0,0,-(B86+CUMPRINC(Assumptions!$D$48/12,Assumptions!$D$49*12,B86,1,120,0))))</f>
        <v>0</v>
      </c>
      <c r="L102" s="5">
        <f>IF(10&lt;10,0,IF(B86=0,0,-(B86+CUMPRINC(Assumptions!$D$48/12,Assumptions!$D$49*12,B86,1,120,0))))</f>
        <v>-2348249.4403387867</v>
      </c>
    </row>
    <row r="103" spans="1:12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0</v>
      </c>
      <c r="J103" s="5">
        <f>J100+J101+J102</f>
        <v>0</v>
      </c>
      <c r="K103" s="5">
        <f>K100+K101+K102</f>
        <v>0</v>
      </c>
      <c r="L103" s="5">
        <f>L100+L101+L102</f>
        <v>12664725.884189926</v>
      </c>
    </row>
    <row r="105" spans="1:12" x14ac:dyDescent="0.25">
      <c r="A105" t="s">
        <v>204</v>
      </c>
      <c r="C105" s="5">
        <f>228115.69335454033</f>
        <v>228115.69335454033</v>
      </c>
      <c r="D105" s="5">
        <f>298519.64084722346</f>
        <v>298519.64084722346</v>
      </c>
      <c r="E105" s="5">
        <f>344267.81919867685</f>
        <v>344267.81919867685</v>
      </c>
      <c r="F105" s="5">
        <f>359204.61746158893</f>
        <v>359204.61746158893</v>
      </c>
      <c r="G105" s="5">
        <f>374440.151689759</f>
        <v>374440.151689759</v>
      </c>
      <c r="H105" s="5">
        <f>389980.3966024928</f>
        <v>389980.3966024928</v>
      </c>
      <c r="I105" s="5">
        <f>405831.4464134811</f>
        <v>405831.4464134811</v>
      </c>
      <c r="J105" s="5">
        <f>421999.5172206894</f>
        <v>421999.5172206894</v>
      </c>
      <c r="K105" s="5">
        <f>438490.9494440416</f>
        <v>438490.9494440416</v>
      </c>
      <c r="L105" s="5">
        <f>455312.2103118608</f>
        <v>455312.2103118608</v>
      </c>
    </row>
    <row r="106" spans="1:12" x14ac:dyDescent="0.25">
      <c r="A106" t="s">
        <v>205</v>
      </c>
      <c r="C106" s="5">
        <f>57028.92333863507</f>
        <v>57028.92333863507</v>
      </c>
      <c r="D106" s="5">
        <f>74629.91021180584</f>
        <v>74629.91021180584</v>
      </c>
      <c r="E106" s="5">
        <f>86066.95479966915</f>
        <v>86066.95479966915</v>
      </c>
      <c r="F106" s="5">
        <f>89801.15436539717</f>
        <v>89801.15436539717</v>
      </c>
      <c r="G106" s="5">
        <f>93610.03792243975</f>
        <v>93610.03792243975</v>
      </c>
      <c r="H106" s="5">
        <f>97495.0991506232</f>
        <v>97495.0991506232</v>
      </c>
      <c r="I106" s="5">
        <f>101457.86160337023</f>
        <v>101457.86160337023</v>
      </c>
      <c r="J106" s="5">
        <f>105499.8793051723</f>
        <v>105499.8793051723</v>
      </c>
      <c r="K106" s="5">
        <f>109622.7373610104</f>
        <v>109622.7373610104</v>
      </c>
      <c r="L106" s="5">
        <f>113828.0525779652</f>
        <v>113828.0525779652</v>
      </c>
    </row>
    <row r="107" spans="1:12" x14ac:dyDescent="0.25">
      <c r="A107" t="s">
        <v>230</v>
      </c>
      <c r="C107" s="5">
        <f>IF(1=10,8035722.430318436,0)</f>
        <v>0</v>
      </c>
      <c r="D107" s="5">
        <f>IF(2=10,8035722.430318436,0)</f>
        <v>0</v>
      </c>
      <c r="E107" s="5">
        <f>IF(3=10,8035722.430318436,0)</f>
        <v>0</v>
      </c>
      <c r="F107" s="5">
        <f>IF(4=10,8035722.430318436,0)</f>
        <v>0</v>
      </c>
      <c r="G107" s="5">
        <f>IF(5=10,8035722.430318436,0)</f>
        <v>0</v>
      </c>
      <c r="H107" s="5">
        <f>IF(6=10,8035722.430318436,0)</f>
        <v>0</v>
      </c>
      <c r="I107" s="5">
        <f>IF(7=10,8035722.430318436,0)</f>
        <v>0</v>
      </c>
      <c r="J107" s="5">
        <f>IF(8=10,8035722.430318436,0)</f>
        <v>0</v>
      </c>
      <c r="K107" s="5">
        <f>IF(9=10,8035722.430318436,0)</f>
        <v>0</v>
      </c>
      <c r="L107" s="5">
        <f>IF(10=10,8035722.430318436,0)</f>
        <v>8035722.430318436</v>
      </c>
    </row>
    <row r="108" spans="1:12" x14ac:dyDescent="0.25">
      <c r="A108" t="s">
        <v>231</v>
      </c>
      <c r="C108" s="5">
        <f>IF(1=10,4629003.45387149,0)</f>
        <v>0</v>
      </c>
      <c r="D108" s="5">
        <f>IF(2=10,4629003.45387149,0)</f>
        <v>0</v>
      </c>
      <c r="E108" s="5">
        <f>IF(3=10,4629003.45387149,0)</f>
        <v>0</v>
      </c>
      <c r="F108" s="5">
        <f>IF(4=10,4629003.45387149,0)</f>
        <v>0</v>
      </c>
      <c r="G108" s="5">
        <f>IF(5=10,4629003.45387149,0)</f>
        <v>0</v>
      </c>
      <c r="H108" s="5">
        <f>IF(6=10,4629003.45387149,0)</f>
        <v>0</v>
      </c>
      <c r="I108" s="5">
        <f>IF(7=10,4629003.45387149,0)</f>
        <v>0</v>
      </c>
      <c r="J108" s="5">
        <f>IF(8=10,4629003.45387149,0)</f>
        <v>0</v>
      </c>
      <c r="K108" s="5">
        <f>IF(9=10,4629003.45387149,0)</f>
        <v>0</v>
      </c>
      <c r="L108" s="5">
        <f>IF(10=10,4629003.45387149,0)</f>
        <v>4629003.45387149</v>
      </c>
    </row>
    <row r="109" spans="1:12" x14ac:dyDescent="0.25">
      <c r="A109" t="s">
        <v>232</v>
      </c>
      <c r="C109" s="5">
        <f>(C95+C96)*(1-gp_pct)</f>
        <v>166336.80000000005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  <c r="J109" s="5">
        <f>(J95+J96)*(1-gp_pct)</f>
        <v>0</v>
      </c>
      <c r="K109" s="5">
        <f>(K95+K96)*(1-gp_pct)</f>
        <v>0</v>
      </c>
      <c r="L109" s="5">
        <f>(L95+L96)*(1-gp_pct)</f>
        <v>0</v>
      </c>
    </row>
    <row r="110" spans="1:12" x14ac:dyDescent="0.25">
      <c r="A110" t="s">
        <v>233</v>
      </c>
      <c r="C110" s="5">
        <f>(C95+C96)*gp_pct</f>
        <v>41584.19999999997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  <c r="J110" s="5">
        <f>(J95+J96)*gp_pct</f>
        <v>0</v>
      </c>
      <c r="K110" s="5">
        <f>(K95+K96)*gp_pct</f>
        <v>0</v>
      </c>
      <c r="L110" s="5">
        <f>(L95+L96)*gp_pct</f>
        <v>0</v>
      </c>
    </row>
    <row r="111" spans="1:12" x14ac:dyDescent="0.25">
      <c r="A111" s="3" t="s">
        <v>234</v>
      </c>
      <c r="C111" s="5">
        <f>SUM(C105:C110)</f>
        <v>493065.6166931754</v>
      </c>
      <c r="D111" s="5">
        <f>SUM(D105:D110)</f>
        <v>373149.5510590293</v>
      </c>
      <c r="E111" s="5">
        <f>SUM(E105:E110)</f>
        <v>430334.773998346</v>
      </c>
      <c r="F111" s="5">
        <f>SUM(F105:F110)</f>
        <v>449005.7718269861</v>
      </c>
      <c r="G111" s="5">
        <f>SUM(G105:G110)</f>
        <v>468050.18961219874</v>
      </c>
      <c r="H111" s="5">
        <f>SUM(H105:H110)</f>
        <v>487475.495753116</v>
      </c>
      <c r="I111" s="5">
        <f>SUM(I105:I110)</f>
        <v>507289.3080168513</v>
      </c>
      <c r="J111" s="5">
        <f>SUM(J105:J110)</f>
        <v>527499.3965258617</v>
      </c>
      <c r="K111" s="5">
        <f>SUM(K105:K110)</f>
        <v>548113.686805052</v>
      </c>
      <c r="L111" s="5">
        <f>SUM(L105:L110)</f>
        <v>13233866.147079753</v>
      </c>
    </row>
    <row r="113" spans="1:12" x14ac:dyDescent="0.25">
      <c r="A113" t="s">
        <v>235</v>
      </c>
      <c r="C113" s="5">
        <f>C94+C95+C96+C103</f>
        <v>493065.6166931754</v>
      </c>
      <c r="D113" s="5">
        <f>D94+D95+D96+D103</f>
        <v>373149.5510590293</v>
      </c>
      <c r="E113" s="5">
        <f>E94+E95+E96+E103</f>
        <v>430334.773998346</v>
      </c>
      <c r="F113" s="5">
        <f>F94+F95+F96+F103</f>
        <v>449005.7718269861</v>
      </c>
      <c r="G113" s="5">
        <f>G94+G95+G96+G103</f>
        <v>468050.18961219874</v>
      </c>
      <c r="H113" s="5">
        <f>H94+H95+H96+H103</f>
        <v>487475.495753116</v>
      </c>
      <c r="I113" s="5">
        <f>I94+I95+I96+I103</f>
        <v>507289.3080168513</v>
      </c>
      <c r="J113" s="5">
        <f>J94+J95+J96+J103</f>
        <v>527499.3965258617</v>
      </c>
      <c r="K113" s="5">
        <f>K94+K95+K96+K103</f>
        <v>548113.686805052</v>
      </c>
      <c r="L113" s="5">
        <f>L94+L95+L96+L103</f>
        <v>13233866.147079753</v>
      </c>
    </row>
    <row r="114" spans="1:12" x14ac:dyDescent="0.25">
      <c r="A114" t="s">
        <v>236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  <c r="J114" s="5">
        <f>J113-J111</f>
        <v>0</v>
      </c>
      <c r="K114" s="5">
        <f>K113-K111</f>
        <v>0</v>
      </c>
      <c r="L114" s="5">
        <f>L113-L111</f>
        <v>0</v>
      </c>
    </row>
    <row r="116" spans="1:12" x14ac:dyDescent="0.25">
      <c r="A116" t="s">
        <v>237</v>
      </c>
      <c r="B116" s="5">
        <f>-B87</f>
        <v>-2940004.306122449</v>
      </c>
      <c r="C116" s="5">
        <f>C105+C107+C109</f>
        <v>394452.4933545404</v>
      </c>
      <c r="D116" s="5">
        <f>D105+D107+D109</f>
        <v>298519.64084722346</v>
      </c>
      <c r="E116" s="5">
        <f>E105+E107+E109</f>
        <v>344267.81919867685</v>
      </c>
      <c r="F116" s="5">
        <f>F105+F107+F109</f>
        <v>359204.61746158893</v>
      </c>
      <c r="G116" s="5">
        <f>G105+G107+G109</f>
        <v>374440.151689759</v>
      </c>
      <c r="H116" s="5">
        <f>H105+H107+H109</f>
        <v>389980.3966024928</v>
      </c>
      <c r="I116" s="5">
        <f>I105+I107+I109</f>
        <v>405831.4464134811</v>
      </c>
      <c r="J116" s="5">
        <f>J105+J107+J109</f>
        <v>421999.5172206894</v>
      </c>
      <c r="K116" s="5">
        <f>K105+K107+K109</f>
        <v>438490.9494440416</v>
      </c>
      <c r="L116" s="5">
        <f>L105+L107+L109</f>
        <v>8491034.640630297</v>
      </c>
    </row>
    <row r="117" spans="1:12" x14ac:dyDescent="0.25">
      <c r="A117" t="s">
        <v>238</v>
      </c>
      <c r="B117" s="5">
        <f>B116</f>
        <v>-2940004.306122449</v>
      </c>
      <c r="C117" s="5">
        <f>B117+C116</f>
        <v>-2545551.812767909</v>
      </c>
      <c r="D117" s="5">
        <f>C117+D116</f>
        <v>-2247032.1719206856</v>
      </c>
      <c r="E117" s="5">
        <f>D117+E116</f>
        <v>-1902764.3527220087</v>
      </c>
      <c r="F117" s="5">
        <f>E117+F116</f>
        <v>-1543559.7352604198</v>
      </c>
      <c r="G117" s="5">
        <f>F117+G116</f>
        <v>-1169119.5835706608</v>
      </c>
      <c r="H117" s="5">
        <f>G117+H116</f>
        <v>-779139.186968168</v>
      </c>
      <c r="I117" s="5">
        <f>H117+I116</f>
        <v>-373307.7405546869</v>
      </c>
      <c r="J117" s="5">
        <f>I117+J116</f>
        <v>48691.776666002464</v>
      </c>
      <c r="K117" s="5">
        <f>J117+K116</f>
        <v>487182.72611004405</v>
      </c>
      <c r="L117" s="5">
        <f>K117+L116</f>
        <v>8978217.366740342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241</v>
      </c>
    </row>
    <row r="3" spans="1:7" x14ac:dyDescent="0.25">
      <c r="A3" s="3" t="s">
        <v>242</v>
      </c>
      <c r="B3" s="3" t="s">
        <v>13</v>
      </c>
      <c r="C3" s="3" t="s">
        <v>19</v>
      </c>
      <c r="D3" s="3" t="s">
        <v>31</v>
      </c>
      <c r="E3" s="3" t="s">
        <v>215</v>
      </c>
      <c r="F3" s="3" t="s">
        <v>229</v>
      </c>
      <c r="G3" s="3" t="s">
        <v>243</v>
      </c>
    </row>
    <row r="4" spans="1:7" x14ac:dyDescent="0.25">
      <c r="A4" t="s">
        <v>81</v>
      </c>
      <c r="B4" s="5">
        <v>0</v>
      </c>
      <c r="C4" s="5">
        <v>7528566</v>
      </c>
      <c r="D4" s="6">
        <v>0.12569576831441948</v>
      </c>
      <c r="E4" s="7">
        <v>2.4921164501619413</v>
      </c>
      <c r="F4" s="7"/>
      <c r="G4" t="s">
        <v>244</v>
      </c>
    </row>
    <row r="5" spans="1:7" x14ac:dyDescent="0.25">
      <c r="A5" t="s">
        <v>12</v>
      </c>
      <c r="B5" s="5">
        <v>5228704</v>
      </c>
      <c r="C5" s="5">
        <v>3518615</v>
      </c>
      <c r="D5" s="6">
        <v>0.17626054233412145</v>
      </c>
      <c r="E5" s="7">
        <v>3.649002451429639</v>
      </c>
      <c r="F5" s="7">
        <v>2.1924743456742224</v>
      </c>
      <c r="G5" t="s">
        <v>245</v>
      </c>
    </row>
    <row r="6" spans="1:7" x14ac:dyDescent="0.25">
      <c r="A6" t="s">
        <v>83</v>
      </c>
      <c r="B6" s="5">
        <v>6179378</v>
      </c>
      <c r="C6" s="5">
        <v>2773668</v>
      </c>
      <c r="D6" s="6">
        <v>0.1966594686108366</v>
      </c>
      <c r="E6" s="7">
        <v>4.236947956783677</v>
      </c>
      <c r="F6" s="7">
        <v>1.8551706001858805</v>
      </c>
      <c r="G6" t="s">
        <v>244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2026-09-21T00:07:26Z</dcterms:created>
  <dcterms:modified xsi:type="dcterms:W3CDTF">2026-09-21T00:07:26Z</dcterms:modified>
</cp:coreProperties>
</file>