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Mix'!$B$28</definedName>
    <definedName name="blended_incl">'Unit Mix'!$B$29</definedName>
    <definedName name="clean_base">'Unit Mix'!$B$30</definedName>
    <definedName name="anc_units">'Unit Mix'!$B$31</definedName>
    <definedName name="mtr_n">'Unit Mix'!$B$32</definedName>
    <definedName name="cost_unit_n">'Unit Mix'!$B$33</definedName>
    <definedName name="mtr_rent_a">'Unit Mix'!$B$34</definedName>
    <definedName name="turn_base">'Unit Mix'!$B$35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<sst xmlns="http://schemas.openxmlformats.org/spreadsheetml/2006/main" count="429" uniqueCount="253">
  <si>
    <t>Gràcia 31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</si>
  <si>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</si>
  <si>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</si>
  <si>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</si>
  <si>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</si>
  <si>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</si>
  <si>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</si>
  <si>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</si>
  <si>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</si>
  <si>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</si>
  <si>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</si>
  <si>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</si>
  <si>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55%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</si>
  <si>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</si>
  <si>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</si>
  <si>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</si>
  <si>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</si>
  <si>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</si>
  <si>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</si>
  <si>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</si>
  <si>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</si>
  <si>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</si>
  <si>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</si>
  <si>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</si>
  <si>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</si>
  <si>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</si>
  <si>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</si>
  <si>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</si>
  <si>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</si>
  <si>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</si>
  <si>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</si>
  <si>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</si>
  <si>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</si>
  <si>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</si>
  <si>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</si>
  <si>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</si>
  <si>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</si>
  <si>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</si>
  <si>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</si>
  <si>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</si>
  <si>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</si>
  <si>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</si>
  <si>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</si>
  <si>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</si>
  <si>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</si>
  <si>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</si>
  <si>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</si>
  <si>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</si>
  <si>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</si>
  <si>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</si>
  <si>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</si>
  <si>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</si>
  <si>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</si>
  <si>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</si>
  <si>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</si>
  <si>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</si>
  <si>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</si>
  <si>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</si>
  <si>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</si>
  <si>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</si>
  <si>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</si>
  <si>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</si>
  <si>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</si>
  <si>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</si>
  <si>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</si>
  <si>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</si>
  <si>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</si>
  <si>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</si>
  <si>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</si>
  <si>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</si>
  <si>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</si>
  <si>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</si>
  <si>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</si>
  <si>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</si>
  <si>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</si>
  <si>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</si>
  <si>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</si>
  <si>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</si>
  <si>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</si>
  <si>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</si>
  <si>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</si>
  <si>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</si>
  <si>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55%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</si>
  <si>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</si>
  <si>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</si>
  <si>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</si>
  <si>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</si>
  <si>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</si>
  <si>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</si>
  <si>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</si>
  <si>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</si>
  <si>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</si>
  <si>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</si>
  <si>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</si>
  <si>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</si>
  <si>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</si>
  <si>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</si>
  <si>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</si>
  <si>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</si>
  <si>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</si>
  <si>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</si>
  <si>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</si>
  <si>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</si>
  <si>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</si>
  <si>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</si>
  <si>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</si>
  <si>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Studio · short-let</t>
  </si>
  <si>
    <t>STR</t>
  </si>
  <si>
    <t>1-bed · short-let</t>
  </si>
  <si>
    <t>2-bed · short-let</t>
  </si>
  <si>
    <t>1-bed · mid-term</t>
  </si>
  <si>
    <t>MTR</t>
  </si>
  <si>
    <t>2-bed · mid-term</t>
  </si>
  <si>
    <t>Ground-floor local</t>
  </si>
  <si>
    <t>Local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</si>
  <si>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</si>
  <si>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</si>
  <si>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</si>
  <si>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</si>
  <si>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</si>
  <si>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</si>
  <si>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</si>
  <si>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</si>
  <si>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</si>
  <si>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</si>
  <si>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</si>
  <si>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</si>
  <si>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</si>
  <si>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</si>
  <si>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</si>
  <si>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</si>
  <si>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</si>
  <si>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</si>
  <si>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</si>
  <si>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</si>
  <si>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</si>
  <si>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</si>
  <si>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</si>
  <si>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</si>
  <si>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</si>
  <si>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</si>
  <si>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</si>
  <si>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</si>
  <si>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</si>
  <si>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</si>
  <si>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</si>
  <si>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</si>
  <si>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</si>
  <si>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</si>
  <si>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</si>
  <si>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</si>
  <si>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</si>
  <si>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</si>
  <si>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</si>
  <si>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</si>
  <si>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</si>
  <si>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</si>
  <si>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</si>
  <si>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</si>
  <si>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</si>
  <si>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</si>
  <si>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</si>
  <si>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</si>
  <si>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</si>
  <si>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</si>
  <si>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</si>
  <si>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</si>
  <si>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</si>
  <si>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</si>
  <si>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</si>
  <si>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</si>
  <si>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</si>
  <si>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</si>
  <si>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</si>
  <si>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</si>
  <si>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</si>
  <si>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</si>
  <si>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</si>
  <si>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</si>
  <si>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</si>
  <si>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</si>
  <si>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</si>
  <si>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</si>
  <si>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Ground-floor licence transfer (one_off)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</si>
  <si>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</si>
  <si>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</si>
  <si>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</si>
  <si>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</si>
  <si>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</si>
  <si>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</si>
  <si>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</si>
  <si>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</si>
  <si>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</si>
  <si>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</si>
  <si>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</si>
  <si>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</si>
  <si>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</si>
  <si>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</si>
  <si>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</si>
  <si>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</si>
  <si>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</si>
  <si>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</si>
  <si>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</si>
  <si>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</si>
  <si>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</si>
  <si>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</si>
  <si>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</si>
  <si>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</si>
  <si>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</si>
  <si>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</si>
  <si>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</si>
  <si>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</si>
  <si>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</si>
  <si>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</si>
  <si>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</si>
  <si>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</si>
  <si>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</si>
  <si>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</si>
  <si>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</si>
  <si>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</si>
  <si>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</si>
  <si>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</si>
  <si>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</si>
  <si>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</si>
  <si>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</si>
  <si>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</si>
  <si>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</si>
  <si>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</si>
  <si>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</si>
  <si>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</si>
  <si>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</si>
  <si>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</si>
  <si>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</si>
  <si>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</si>
  <si>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</si>
  <si>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</si>
  <si>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</si>
  <si>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</si>
  <si>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</si>
  <si>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</si>
  <si>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</si>
  <si>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</si>
  <si>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</si>
  <si>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</si>
  <si>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</si>
  <si>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</si>
  <si>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55%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</si>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</sst>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24</v>
      </c>
    </row>
    <row r="7" spans="1:2" x14ac:dyDescent="0.25">
      <c r="A7" t="s">
        <v>5</v>
      </c>
      <c r="B7" s="5">
        <f>price</f>
        <v>5200000</v>
      </c>
    </row>
    <row r="8" spans="1:2" x14ac:dyDescent="0.25">
      <c r="A8" t="s">
        <v>6</v>
      </c>
      <c r="B8" s="5">
        <f>tpc</f>
        <v>6287040.816326531</v>
      </c>
    </row>
    <row r="9" spans="1:2" x14ac:dyDescent="0.25">
      <c r="A9" t="s">
        <v>7</v>
      </c>
      <c r="B9" s="5">
        <f>IF(units_c=0,0,tpc/units_c)</f>
        <v>261960.03401360544</v>
      </c>
    </row>
    <row r="10" spans="1:2" x14ac:dyDescent="0.25">
      <c r="A10" t="s">
        <v>8</v>
      </c>
      <c r="B10" s="5">
        <f>'P&amp;L'!E32</f>
        <v>511892.07725128374</v>
      </c>
    </row>
    <row r="11" spans="1:2" x14ac:dyDescent="0.25">
      <c r="A11" t="s">
        <v>9</v>
      </c>
      <c r="B11" s="6">
        <f>IF(tpc=0,0,B10/tpc)</f>
        <v>0.08142019309338258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3457872.448979592</v>
      </c>
    </row>
    <row r="16" spans="1:2" x14ac:dyDescent="0.25">
      <c r="A16" t="s">
        <v>14</v>
      </c>
      <c r="B16" s="6">
        <f>IF(tpc=0,0,B15/tpc)</f>
        <v>0.55</v>
      </c>
    </row>
    <row r="17" spans="1:2" x14ac:dyDescent="0.25">
      <c r="A17" t="s">
        <v>15</v>
      </c>
      <c r="B17" s="5">
        <f>Waterfall!B4</f>
        <v>77886.38520408163</v>
      </c>
    </row>
    <row r="18" spans="1:2" x14ac:dyDescent="0.25">
      <c r="A18" t="s">
        <v>16</v>
      </c>
      <c r="B18" s="5">
        <f>eq_total</f>
        <v>2907054.75255102</v>
      </c>
    </row>
    <row r="19" spans="1:2" x14ac:dyDescent="0.25">
      <c r="A19" t="s">
        <v>17</v>
      </c>
      <c r="B19" s="5">
        <f>vat_float</f>
        <v>128163</v>
      </c>
    </row>
    <row r="20" spans="1:2" x14ac:dyDescent="0.25">
      <c r="A20" t="s">
        <v>18</v>
      </c>
      <c r="B20" s="5">
        <f>eq_total+vat_float</f>
        <v>3035217.75255102</v>
      </c>
    </row>
    <row r="21" spans="1:2" x14ac:dyDescent="0.25">
      <c r="A21" t="s">
        <v>19</v>
      </c>
      <c r="B21" s="5">
        <f>eq_lp</f>
        <v>2325643.8020408163</v>
      </c>
    </row>
    <row r="22" spans="1:2" x14ac:dyDescent="0.25">
      <c r="A22" t="s">
        <v>20</v>
      </c>
      <c r="B22" s="5">
        <f>eq_gp</f>
        <v>581410.9505102041</v>
      </c>
    </row>
    <row r="23" spans="1:2" x14ac:dyDescent="0.25">
      <c r="A23" t="s">
        <v>21</v>
      </c>
      <c r="B23" s="5">
        <f>Waterfall!B8</f>
        <v>281590.44760042604</v>
      </c>
    </row>
    <row r="24" spans="1:2" x14ac:dyDescent="0.25">
      <c r="A24" t="s">
        <v>22</v>
      </c>
      <c r="B24" s="7">
        <f>IF(Waterfall!B8=0,0,B10/Waterfall!B8)</f>
        <v>1.8178602350092974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10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8304175.076448099</v>
      </c>
    </row>
    <row r="30" spans="1:2" x14ac:dyDescent="0.25">
      <c r="A30" t="s">
        <v>27</v>
      </c>
      <c r="B30" s="5">
        <f>Waterfall!B27</f>
        <v>-166083.501528962</v>
      </c>
    </row>
    <row r="31" spans="1:2" x14ac:dyDescent="0.25">
      <c r="A31" t="s">
        <v>28</v>
      </c>
      <c r="B31" s="5">
        <f>Waterfall!B28</f>
        <v>1314039.6384646187</v>
      </c>
    </row>
    <row r="32" spans="1:2" x14ac:dyDescent="0.25">
      <c r="A32" t="s">
        <v>29</v>
      </c>
      <c r="B32" s="5">
        <f>Waterfall!B29</f>
        <v>6824051.936454519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0.1379436712465961</v>
      </c>
    </row>
    <row r="36" spans="1:2" x14ac:dyDescent="0.25">
      <c r="A36" t="s">
        <v>32</v>
      </c>
      <c r="B36" s="7">
        <f>Waterfall!B38</f>
        <v>2.9572031027725414</v>
      </c>
    </row>
    <row r="37" spans="1:2" x14ac:dyDescent="0.25">
      <c r="A37" t="s">
        <v>33</v>
      </c>
      <c r="B37" s="5">
        <f>Waterfall!B37</f>
        <v>6877401.067338832</v>
      </c>
    </row>
    <row r="38" spans="1:2" x14ac:dyDescent="0.25">
      <c r="A38" t="s">
        <v>34</v>
      </c>
      <c r="B38" s="6">
        <f>IF(eq_lp=0,0,AVERAGE(Waterfall!C22:L22)/eq_lp)</f>
        <v>0.08518505569778996</v>
      </c>
    </row>
    <row r="39" spans="1:2" x14ac:dyDescent="0.25">
      <c r="A39" t="s">
        <v>35</v>
      </c>
      <c r="B39" s="6">
        <f>IRR('Cash Flow'!B77:'Cash Flow'!L77)</f>
        <v>0.13717680777113386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SUM(Waterfall!C23:L23)+Waterfall!B32</f>
        <v>2423027.079241523</v>
      </c>
    </row>
    <row r="43" spans="1:2" x14ac:dyDescent="0.25">
      <c r="A43" t="s">
        <v>38</v>
      </c>
      <c r="B43" s="7">
        <f>IF(eq_gp=0,0,B42/eq_gp)</f>
        <v>4.167494742084322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0.8199991232876713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2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8300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137.99983145554984</v>
      </c>
      <c r="D2" s="8">
        <v>0.8199991232876712</v>
      </c>
      <c r="E2" s="11">
        <v>35</v>
      </c>
      <c r="F2" s="11">
        <v>0</v>
      </c>
    </row>
    <row r="3" spans="1:6" x14ac:dyDescent="0.25">
      <c r="A3" t="s">
        <v>106</v>
      </c>
      <c r="B3" t="s">
        <v>107</v>
      </c>
      <c r="C3" s="11">
        <v>137.99983145554984</v>
      </c>
      <c r="D3" s="8">
        <v>0.8199991232876712</v>
      </c>
      <c r="E3" s="11">
        <v>35</v>
      </c>
      <c r="F3" s="11">
        <v>0</v>
      </c>
    </row>
    <row r="4" spans="1:6" x14ac:dyDescent="0.25">
      <c r="A4" t="s">
        <v>106</v>
      </c>
      <c r="B4" t="s">
        <v>107</v>
      </c>
      <c r="C4" s="11">
        <v>137.99983145554984</v>
      </c>
      <c r="D4" s="8">
        <v>0.8199991232876712</v>
      </c>
      <c r="E4" s="11">
        <v>35</v>
      </c>
      <c r="F4" s="11">
        <v>0</v>
      </c>
    </row>
    <row r="5" spans="1:6" x14ac:dyDescent="0.25">
      <c r="A5" t="s">
        <v>106</v>
      </c>
      <c r="B5" t="s">
        <v>107</v>
      </c>
      <c r="C5" s="11">
        <v>137.99983145554984</v>
      </c>
      <c r="D5" s="8">
        <v>0.8199991232876712</v>
      </c>
      <c r="E5" s="11">
        <v>35</v>
      </c>
      <c r="F5" s="11">
        <v>0</v>
      </c>
    </row>
    <row r="6" spans="1:6" x14ac:dyDescent="0.25">
      <c r="A6" t="s">
        <v>106</v>
      </c>
      <c r="B6" t="s">
        <v>107</v>
      </c>
      <c r="C6" s="11">
        <v>137.99983145554984</v>
      </c>
      <c r="D6" s="8">
        <v>0.8199991232876712</v>
      </c>
      <c r="E6" s="11">
        <v>35</v>
      </c>
      <c r="F6" s="11">
        <v>0</v>
      </c>
    </row>
    <row r="7" spans="1:6" x14ac:dyDescent="0.25">
      <c r="A7" t="s">
        <v>106</v>
      </c>
      <c r="B7" t="s">
        <v>107</v>
      </c>
      <c r="C7" s="11">
        <v>137.99983145554984</v>
      </c>
      <c r="D7" s="8">
        <v>0.8199991232876712</v>
      </c>
      <c r="E7" s="11">
        <v>35</v>
      </c>
      <c r="F7" s="11">
        <v>0</v>
      </c>
    </row>
    <row r="8" spans="1:6" x14ac:dyDescent="0.25">
      <c r="A8" t="s">
        <v>108</v>
      </c>
      <c r="B8" t="s">
        <v>107</v>
      </c>
      <c r="C8" s="11">
        <v>169.9988213873132</v>
      </c>
      <c r="D8" s="8">
        <v>0.8199991232876713</v>
      </c>
      <c r="E8" s="11">
        <v>35</v>
      </c>
      <c r="F8" s="11">
        <v>0</v>
      </c>
    </row>
    <row r="9" spans="1:6" x14ac:dyDescent="0.25">
      <c r="A9" t="s">
        <v>108</v>
      </c>
      <c r="B9" t="s">
        <v>107</v>
      </c>
      <c r="C9" s="11">
        <v>169.9988213873132</v>
      </c>
      <c r="D9" s="8">
        <v>0.8199991232876713</v>
      </c>
      <c r="E9" s="11">
        <v>35</v>
      </c>
      <c r="F9" s="11">
        <v>0</v>
      </c>
    </row>
    <row r="10" spans="1:6" x14ac:dyDescent="0.25">
      <c r="A10" t="s">
        <v>108</v>
      </c>
      <c r="B10" t="s">
        <v>107</v>
      </c>
      <c r="C10" s="11">
        <v>169.9988213873132</v>
      </c>
      <c r="D10" s="8">
        <v>0.8199991232876713</v>
      </c>
      <c r="E10" s="11">
        <v>35</v>
      </c>
      <c r="F10" s="11">
        <v>0</v>
      </c>
    </row>
    <row r="11" spans="1:6" x14ac:dyDescent="0.25">
      <c r="A11" t="s">
        <v>108</v>
      </c>
      <c r="B11" t="s">
        <v>107</v>
      </c>
      <c r="C11" s="11">
        <v>169.9988213873132</v>
      </c>
      <c r="D11" s="8">
        <v>0.8199991232876713</v>
      </c>
      <c r="E11" s="11">
        <v>35</v>
      </c>
      <c r="F11" s="11">
        <v>0</v>
      </c>
    </row>
    <row r="12" spans="1:6" x14ac:dyDescent="0.25">
      <c r="A12" t="s">
        <v>108</v>
      </c>
      <c r="B12" t="s">
        <v>107</v>
      </c>
      <c r="C12" s="11">
        <v>169.9988213873132</v>
      </c>
      <c r="D12" s="8">
        <v>0.8199991232876713</v>
      </c>
      <c r="E12" s="11">
        <v>35</v>
      </c>
      <c r="F12" s="11">
        <v>0</v>
      </c>
    </row>
    <row r="13" spans="1:6" x14ac:dyDescent="0.25">
      <c r="A13" t="s">
        <v>108</v>
      </c>
      <c r="B13" t="s">
        <v>107</v>
      </c>
      <c r="C13" s="11">
        <v>169.9988213873132</v>
      </c>
      <c r="D13" s="8">
        <v>0.8199991232876713</v>
      </c>
      <c r="E13" s="11">
        <v>35</v>
      </c>
      <c r="F13" s="11">
        <v>0</v>
      </c>
    </row>
    <row r="14" spans="1:6" x14ac:dyDescent="0.25">
      <c r="A14" t="s">
        <v>108</v>
      </c>
      <c r="B14" t="s">
        <v>107</v>
      </c>
      <c r="C14" s="11">
        <v>169.9988213873132</v>
      </c>
      <c r="D14" s="8">
        <v>0.8199991232876713</v>
      </c>
      <c r="E14" s="11">
        <v>35</v>
      </c>
      <c r="F14" s="11">
        <v>0</v>
      </c>
    </row>
    <row r="15" spans="1:6" x14ac:dyDescent="0.25">
      <c r="A15" t="s">
        <v>108</v>
      </c>
      <c r="B15" t="s">
        <v>107</v>
      </c>
      <c r="C15" s="11">
        <v>169.9988213873132</v>
      </c>
      <c r="D15" s="8">
        <v>0.8199991232876713</v>
      </c>
      <c r="E15" s="11">
        <v>35</v>
      </c>
      <c r="F15" s="11">
        <v>0</v>
      </c>
    </row>
    <row r="16" spans="1:6" x14ac:dyDescent="0.25">
      <c r="A16" t="s">
        <v>109</v>
      </c>
      <c r="B16" t="s">
        <v>107</v>
      </c>
      <c r="C16" s="11">
        <v>215.00045667539632</v>
      </c>
      <c r="D16" s="8">
        <v>0.8199991232876713</v>
      </c>
      <c r="E16" s="11">
        <v>40</v>
      </c>
      <c r="F16" s="11">
        <v>0</v>
      </c>
    </row>
    <row r="17" spans="1:6" x14ac:dyDescent="0.25">
      <c r="A17" t="s">
        <v>109</v>
      </c>
      <c r="B17" t="s">
        <v>107</v>
      </c>
      <c r="C17" s="11">
        <v>215.00045667539632</v>
      </c>
      <c r="D17" s="8">
        <v>0.8199991232876713</v>
      </c>
      <c r="E17" s="11">
        <v>40</v>
      </c>
      <c r="F17" s="11">
        <v>0</v>
      </c>
    </row>
    <row r="18" spans="1:6" x14ac:dyDescent="0.25">
      <c r="A18" t="s">
        <v>109</v>
      </c>
      <c r="B18" t="s">
        <v>107</v>
      </c>
      <c r="C18" s="11">
        <v>215.00045667539632</v>
      </c>
      <c r="D18" s="8">
        <v>0.8199991232876713</v>
      </c>
      <c r="E18" s="11">
        <v>40</v>
      </c>
      <c r="F18" s="11">
        <v>0</v>
      </c>
    </row>
    <row r="19" spans="1:6" x14ac:dyDescent="0.25">
      <c r="A19" t="s">
        <v>109</v>
      </c>
      <c r="B19" t="s">
        <v>107</v>
      </c>
      <c r="C19" s="11">
        <v>215.00045667539632</v>
      </c>
      <c r="D19" s="8">
        <v>0.8199991232876713</v>
      </c>
      <c r="E19" s="11">
        <v>40</v>
      </c>
      <c r="F19" s="11">
        <v>0</v>
      </c>
    </row>
    <row r="20" spans="1:6" x14ac:dyDescent="0.25">
      <c r="A20" t="s">
        <v>110</v>
      </c>
      <c r="B20" t="s">
        <v>111</v>
      </c>
      <c r="C20" s="11">
        <v>0</v>
      </c>
      <c r="D20" s="8">
        <v>0.95</v>
      </c>
      <c r="E20" s="11">
        <v>0</v>
      </c>
      <c r="F20" s="11">
        <v>820.4545454545452</v>
      </c>
    </row>
    <row r="21" spans="1:6" x14ac:dyDescent="0.25">
      <c r="A21" t="s">
        <v>110</v>
      </c>
      <c r="B21" t="s">
        <v>111</v>
      </c>
      <c r="C21" s="11">
        <v>0</v>
      </c>
      <c r="D21" s="8">
        <v>0.95</v>
      </c>
      <c r="E21" s="11">
        <v>0</v>
      </c>
      <c r="F21" s="11">
        <v>820.4545454545452</v>
      </c>
    </row>
    <row r="22" spans="1:6" x14ac:dyDescent="0.25">
      <c r="A22" t="s">
        <v>110</v>
      </c>
      <c r="B22" t="s">
        <v>111</v>
      </c>
      <c r="C22" s="11">
        <v>0</v>
      </c>
      <c r="D22" s="8">
        <v>0.95</v>
      </c>
      <c r="E22" s="11">
        <v>0</v>
      </c>
      <c r="F22" s="11">
        <v>820.4545454545452</v>
      </c>
    </row>
    <row r="23" spans="1:6" x14ac:dyDescent="0.25">
      <c r="A23" t="s">
        <v>110</v>
      </c>
      <c r="B23" t="s">
        <v>111</v>
      </c>
      <c r="C23" s="11">
        <v>0</v>
      </c>
      <c r="D23" s="8">
        <v>0.95</v>
      </c>
      <c r="E23" s="11">
        <v>0</v>
      </c>
      <c r="F23" s="11">
        <v>820.4545454545452</v>
      </c>
    </row>
    <row r="24" spans="1:6" x14ac:dyDescent="0.25">
      <c r="A24" t="s">
        <v>112</v>
      </c>
      <c r="B24" t="s">
        <v>111</v>
      </c>
      <c r="C24" s="11">
        <v>0</v>
      </c>
      <c r="D24" s="8">
        <v>0.95</v>
      </c>
      <c r="E24" s="11">
        <v>0</v>
      </c>
      <c r="F24" s="11">
        <v>1036.363636363636</v>
      </c>
    </row>
    <row r="25" spans="1:6" x14ac:dyDescent="0.25">
      <c r="A25" t="s">
        <v>112</v>
      </c>
      <c r="B25" t="s">
        <v>111</v>
      </c>
      <c r="C25" s="11">
        <v>0</v>
      </c>
      <c r="D25" s="8">
        <v>0.95</v>
      </c>
      <c r="E25" s="11">
        <v>0</v>
      </c>
      <c r="F25" s="11">
        <v>1036.363636363636</v>
      </c>
    </row>
    <row r="26" spans="1:6" x14ac:dyDescent="0.25">
      <c r="A26" t="s">
        <v>113</v>
      </c>
      <c r="B26" t="s">
        <v>114</v>
      </c>
      <c r="C26" s="11">
        <v>0</v>
      </c>
      <c r="D26" s="8">
        <v>0.8199991232876713</v>
      </c>
      <c r="E26" s="11">
        <v>0</v>
      </c>
      <c r="F26" s="11">
        <v>2900</v>
      </c>
    </row>
    <row r="28" spans="1:2" x14ac:dyDescent="0.25">
      <c r="A28" t="s">
        <v>115</v>
      </c>
      <c r="B28" s="4">
        <f>COUNTIF(B2:B26,"STR")</f>
        <v>18</v>
      </c>
    </row>
    <row r="29" spans="1:2" x14ac:dyDescent="0.25">
      <c r="A29" t="s">
        <v>116</v>
      </c>
      <c r="B29" s="5">
        <f>SUMPRODUCT(C2:C26,D2:D26,--(B2:B26="STR"))/SUMPRODUCT(D2:D26,--(B2:B26="STR"))</f>
        <v>169.3328548074106</v>
      </c>
    </row>
    <row r="30" spans="1:2" x14ac:dyDescent="0.25">
      <c r="A30" t="s">
        <v>117</v>
      </c>
      <c r="B30" s="5">
        <f>SUMPRODUCT(365*D2:D26/alos,E2:E26/(1+iva),--(B2:B26="STR"))</f>
        <v>70743.56072727274</v>
      </c>
    </row>
    <row r="31" spans="1:2" x14ac:dyDescent="0.25">
      <c r="A31" t="s">
        <v>118</v>
      </c>
      <c r="B31" s="5">
        <f>SUMPRODUCT(F2:F26,--(B2:B26&lt;&gt;"STR"),--(B2:B26&lt;&gt;"MTR"))*12</f>
        <v>34800</v>
      </c>
    </row>
    <row r="32" spans="1:2" x14ac:dyDescent="0.25">
      <c r="A32" t="s">
        <v>119</v>
      </c>
      <c r="B32" s="4">
        <f>COUNTIF(B2:B26,"MTR")</f>
        <v>6</v>
      </c>
    </row>
    <row r="33" spans="1:2" x14ac:dyDescent="0.25">
      <c r="A33" t="s">
        <v>120</v>
      </c>
      <c r="B33" s="4">
        <f>unit_n+mtr_n</f>
        <v>24</v>
      </c>
    </row>
    <row r="34" spans="1:2" x14ac:dyDescent="0.25">
      <c r="A34" t="s">
        <v>121</v>
      </c>
      <c r="B34" s="5">
        <f>SUMPRODUCT(F2:F26,--(B2:B26="MTR"))*12</f>
        <v>64254.545454545434</v>
      </c>
    </row>
    <row r="35" spans="1:2" x14ac:dyDescent="0.25">
      <c r="A35" t="s">
        <v>122</v>
      </c>
      <c r="B35" s="12">
        <f>SUMPRODUCT(D2:D26,--(B2:B26="STR"))*365/alos</f>
        <v>2154.957696000001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123</v>
      </c>
    </row>
    <row r="2" spans="1:2" x14ac:dyDescent="0.25">
      <c r="A2" t="s">
        <v>5</v>
      </c>
      <c r="B2" s="11">
        <v>5200000</v>
      </c>
    </row>
    <row r="3" spans="1:2" x14ac:dyDescent="0.25">
      <c r="A3" t="s">
        <v>124</v>
      </c>
      <c r="B3" s="9">
        <v>24</v>
      </c>
    </row>
    <row r="4" spans="1:2" x14ac:dyDescent="0.25">
      <c r="A4" t="s">
        <v>125</v>
      </c>
      <c r="B4" s="8">
        <v>0.0075</v>
      </c>
    </row>
    <row r="5" spans="1:2" x14ac:dyDescent="0.25">
      <c r="A5" t="s">
        <v>126</v>
      </c>
      <c r="B5" s="8">
        <v>0.06</v>
      </c>
    </row>
    <row r="6" spans="1:2" x14ac:dyDescent="0.25">
      <c r="A6" t="s">
        <v>127</v>
      </c>
      <c r="B6" s="8">
        <v>0.03</v>
      </c>
    </row>
    <row r="7" spans="1:2" x14ac:dyDescent="0.25">
      <c r="A7" t="s">
        <v>128</v>
      </c>
      <c r="B7" s="8">
        <v>0.005</v>
      </c>
    </row>
    <row r="8" spans="1:2" x14ac:dyDescent="0.25">
      <c r="A8" t="s">
        <v>129</v>
      </c>
      <c r="B8" s="11">
        <v>1800</v>
      </c>
    </row>
    <row r="9" spans="1:2" x14ac:dyDescent="0.25">
      <c r="A9" t="s">
        <v>130</v>
      </c>
      <c r="B9" s="11">
        <v>900</v>
      </c>
    </row>
    <row r="10" spans="1:2" x14ac:dyDescent="0.25">
      <c r="A10" t="s">
        <v>131</v>
      </c>
      <c r="B10" s="11">
        <v>3500</v>
      </c>
    </row>
    <row r="11" spans="1:2" x14ac:dyDescent="0.25">
      <c r="A11" t="s">
        <v>132</v>
      </c>
      <c r="B11" s="11">
        <v>2500</v>
      </c>
    </row>
    <row r="12" spans="1:2" x14ac:dyDescent="0.25">
      <c r="A12" t="s">
        <v>133</v>
      </c>
      <c r="B12" s="11">
        <v>0</v>
      </c>
    </row>
    <row r="13" spans="1:2" x14ac:dyDescent="0.25">
      <c r="A13" t="s">
        <v>134</v>
      </c>
      <c r="B13" s="11">
        <v>2000</v>
      </c>
    </row>
    <row r="14" spans="1:2" x14ac:dyDescent="0.25">
      <c r="A14" t="s">
        <v>135</v>
      </c>
      <c r="B14" s="11">
        <v>46000</v>
      </c>
    </row>
    <row r="15" spans="1:2" x14ac:dyDescent="0.25">
      <c r="A15" t="s">
        <v>136</v>
      </c>
      <c r="B15" s="11">
        <v>19000</v>
      </c>
    </row>
    <row r="16" spans="1:2" x14ac:dyDescent="0.25">
      <c r="A16" t="s">
        <v>137</v>
      </c>
      <c r="B16" s="8">
        <v>0</v>
      </c>
    </row>
    <row r="17" spans="1:2" x14ac:dyDescent="0.25">
      <c r="A17" t="s">
        <v>138</v>
      </c>
      <c r="B17" s="11">
        <v>7625</v>
      </c>
    </row>
    <row r="18" spans="1:2" x14ac:dyDescent="0.25">
      <c r="A18" t="s">
        <v>139</v>
      </c>
      <c r="B18" s="11">
        <v>1400</v>
      </c>
    </row>
    <row r="19" spans="1:2" x14ac:dyDescent="0.25">
      <c r="A19" t="s">
        <v>140</v>
      </c>
      <c r="B19" s="11">
        <v>40000</v>
      </c>
    </row>
    <row r="20" spans="1:2" x14ac:dyDescent="0.25">
      <c r="A20" t="s">
        <v>141</v>
      </c>
      <c r="B20" s="11">
        <v>38000</v>
      </c>
    </row>
    <row r="21" spans="1:2" x14ac:dyDescent="0.25">
      <c r="A21" t="s">
        <v>142</v>
      </c>
      <c r="B21" s="8">
        <v>0.02</v>
      </c>
    </row>
    <row r="23" spans="1:2" x14ac:dyDescent="0.25">
      <c r="A23" t="s">
        <v>143</v>
      </c>
      <c r="B23" s="5">
        <f>ajd_pct*price+itp_pct*price+broker_pct*price+dd_pct*price+notary_f+registry_f+spv_f+taxadv_f</f>
        <v>541700</v>
      </c>
    </row>
    <row r="24" spans="1:2" x14ac:dyDescent="0.25">
      <c r="A24" t="s">
        <v>144</v>
      </c>
      <c r="B24" s="5">
        <f>(reno_u*(units_c-1)+appl_u*units_c+common_f+deep_f)*(1+conting_pct)</f>
        <v>113000</v>
      </c>
    </row>
    <row r="25" spans="1:2" x14ac:dyDescent="0.25">
      <c r="A25" t="s">
        <v>145</v>
      </c>
      <c r="B25" s="5">
        <f>(ffe_u+itl_u)*units_c</f>
        <v>216600</v>
      </c>
    </row>
    <row r="26" spans="1:2" x14ac:dyDescent="0.25">
      <c r="A26" t="s">
        <v>146</v>
      </c>
      <c r="B26" s="5">
        <f>permits_f+arch_f</f>
        <v>90000</v>
      </c>
    </row>
    <row r="27" spans="1:2" x14ac:dyDescent="0.25">
      <c r="A27" t="s">
        <v>147</v>
      </c>
      <c r="B27" s="5">
        <f>price+B23+B24+B25+B26</f>
        <v>6161300</v>
      </c>
    </row>
    <row r="28" spans="1:2" x14ac:dyDescent="0.25">
      <c r="A28" t="s">
        <v>148</v>
      </c>
      <c r="B28" s="5">
        <f>gp_fee_pct*cost_base/(1-gp_fee_pct)</f>
        <v>125740.81632653062</v>
      </c>
    </row>
    <row r="29" spans="1:2" x14ac:dyDescent="0.25">
      <c r="A29" s="3" t="s">
        <v>149</v>
      </c>
      <c r="B29" s="5">
        <f>cost_base+B28</f>
        <v>6287040.816326531</v>
      </c>
    </row>
    <row r="30" spans="1:1" x14ac:dyDescent="0.25">
      <c r="A30" s="3" t="s">
        <v>150</v>
      </c>
    </row>
    <row r="31" spans="1:2" x14ac:dyDescent="0.25">
      <c r="A31" t="s">
        <v>151</v>
      </c>
      <c r="B31" s="5">
        <f>0*price</f>
        <v>0</v>
      </c>
    </row>
    <row r="32" spans="1:2" x14ac:dyDescent="0.25">
      <c r="A32" t="s">
        <v>152</v>
      </c>
      <c r="B32" s="5">
        <f>vat_works*B24</f>
        <v>23730</v>
      </c>
    </row>
    <row r="33" spans="1:2" x14ac:dyDescent="0.25">
      <c r="A33" t="s">
        <v>153</v>
      </c>
      <c r="B33" s="5">
        <f>vat_ffe*B25</f>
        <v>45486</v>
      </c>
    </row>
    <row r="34" spans="1:2" x14ac:dyDescent="0.25">
      <c r="A34" t="s">
        <v>154</v>
      </c>
      <c r="B34" s="5">
        <f>vat_soft*B26</f>
        <v>18900</v>
      </c>
    </row>
    <row r="35" spans="1:2" x14ac:dyDescent="0.25">
      <c r="A35" t="s">
        <v>155</v>
      </c>
      <c r="B35" s="5">
        <f>vat_fees*(B23-ajd_pct*price-itp_pct*price)</f>
        <v>40047</v>
      </c>
    </row>
    <row r="36" spans="1:2" x14ac:dyDescent="0.25">
      <c r="A36" s="3" t="s">
        <v>156</v>
      </c>
      <c r="B36" s="5">
        <f>SUM(B31:B35)</f>
        <v>128163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12" width="12" customWidth="1"/>
  </cols>
  <sheetData>
    <row r="1" spans="1:1" x14ac:dyDescent="0.25">
      <c r="A1" s="2" t="s">
        <v>157</v>
      </c>
    </row>
    <row r="2" spans="3:12" x14ac:dyDescent="0.25">
      <c r="C2" s="3" t="s">
        <v>158</v>
      </c>
      <c r="D2" s="3" t="s">
        <v>159</v>
      </c>
      <c r="E2" s="3" t="s">
        <v>160</v>
      </c>
      <c r="F2" s="3" t="s">
        <v>161</v>
      </c>
      <c r="G2" s="3" t="s">
        <v>162</v>
      </c>
      <c r="H2" s="3" t="s">
        <v>163</v>
      </c>
      <c r="I2" s="3" t="s">
        <v>164</v>
      </c>
      <c r="J2" s="3" t="s">
        <v>165</v>
      </c>
      <c r="K2" s="3" t="s">
        <v>166</v>
      </c>
      <c r="L2" s="3" t="s">
        <v>167</v>
      </c>
    </row>
    <row r="3" spans="1:12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0.8199991232876713</v>
      </c>
      <c r="F3" s="6">
        <f>occ_stab</f>
        <v>0.8199991232876713</v>
      </c>
      <c r="G3" s="6">
        <f>occ_stab</f>
        <v>0.8199991232876713</v>
      </c>
      <c r="H3" s="6">
        <f>occ_stab</f>
        <v>0.8199991232876713</v>
      </c>
      <c r="I3" s="6">
        <f>occ_stab</f>
        <v>0.8199991232876713</v>
      </c>
      <c r="J3" s="6">
        <f>occ_stab</f>
        <v>0.8199991232876713</v>
      </c>
      <c r="K3" s="6">
        <f>occ_stab</f>
        <v>0.8199991232876713</v>
      </c>
      <c r="L3" s="6">
        <f>occ_stab</f>
        <v>0.8199991232876713</v>
      </c>
    </row>
    <row r="4" spans="1:12" x14ac:dyDescent="0.25">
      <c r="A4" t="s">
        <v>168</v>
      </c>
      <c r="C4" s="5">
        <f>blended_incl/(1+iva)*adr_y1f</f>
        <v>146.2420109700364</v>
      </c>
      <c r="D4" s="5">
        <f>blended_incl/(1+iva)</f>
        <v>153.9389589158278</v>
      </c>
      <c r="E4" s="5">
        <f>D4*(1+adr_infl)</f>
        <v>157.01773809414436</v>
      </c>
      <c r="F4" s="5">
        <f>E4*(1+adr_infl)</f>
        <v>160.15809285602725</v>
      </c>
      <c r="G4" s="5">
        <f>F4*(1+adr_infl)</f>
        <v>163.3612547131478</v>
      </c>
      <c r="H4" s="5">
        <f>G4*(1+adr_infl)</f>
        <v>166.62847980741074</v>
      </c>
      <c r="I4" s="5">
        <f>H4*(1+adr_infl)</f>
        <v>169.96104940355895</v>
      </c>
      <c r="J4" s="5">
        <f>I4*(1+adr_infl)</f>
        <v>173.36027039163014</v>
      </c>
      <c r="K4" s="5">
        <f>J4*(1+adr_infl)</f>
        <v>176.82747579946275</v>
      </c>
      <c r="L4" s="5">
        <f>K4*(1+adr_infl)</f>
        <v>180.364025315452</v>
      </c>
    </row>
    <row r="5" spans="1:12" x14ac:dyDescent="0.25">
      <c r="A5" t="s">
        <v>169</v>
      </c>
      <c r="C5" s="5">
        <f>C3*365*C4*unit_n</f>
        <v>730215.6091755857</v>
      </c>
      <c r="D5" s="5">
        <f>D3*365*D4*unit_n</f>
        <v>798989.3784608211</v>
      </c>
      <c r="E5" s="5">
        <f>E3*365*E4*unit_n</f>
        <v>845916.457786222</v>
      </c>
      <c r="F5" s="5">
        <f>F3*365*F4*unit_n</f>
        <v>862834.7869419464</v>
      </c>
      <c r="G5" s="5">
        <f>G3*365*G4*unit_n</f>
        <v>880091.4826807852</v>
      </c>
      <c r="H5" s="5">
        <f>H3*365*H4*unit_n</f>
        <v>897693.312334401</v>
      </c>
      <c r="I5" s="5">
        <f>I3*365*I4*unit_n</f>
        <v>915647.178581089</v>
      </c>
      <c r="J5" s="5">
        <f>J3*365*J4*unit_n</f>
        <v>933960.1221527108</v>
      </c>
      <c r="K5" s="5">
        <f>K3*365*K4*unit_n</f>
        <v>952639.3245957651</v>
      </c>
      <c r="L5" s="5">
        <f>L3*365*L4*unit_n</f>
        <v>971692.1110876804</v>
      </c>
    </row>
    <row r="6" spans="1:12" x14ac:dyDescent="0.25">
      <c r="A6" t="s">
        <v>170</v>
      </c>
      <c r="C6" s="5">
        <f>clean_base*C3/occ_stab</f>
        <v>65567.27272727272</v>
      </c>
      <c r="D6" s="5">
        <f>clean_base*D3/occ_stab</f>
        <v>68155.45454545456</v>
      </c>
      <c r="E6" s="5">
        <f>clean_base*E3/occ_stab</f>
        <v>70743.56072727274</v>
      </c>
      <c r="F6" s="5">
        <f>clean_base*F3/occ_stab</f>
        <v>70743.56072727274</v>
      </c>
      <c r="G6" s="5">
        <f>clean_base*G3/occ_stab</f>
        <v>70743.56072727274</v>
      </c>
      <c r="H6" s="5">
        <f>clean_base*H3/occ_stab</f>
        <v>70743.56072727274</v>
      </c>
      <c r="I6" s="5">
        <f>clean_base*I3/occ_stab</f>
        <v>70743.56072727274</v>
      </c>
      <c r="J6" s="5">
        <f>clean_base*J3/occ_stab</f>
        <v>70743.56072727274</v>
      </c>
      <c r="K6" s="5">
        <f>clean_base*K3/occ_stab</f>
        <v>70743.56072727274</v>
      </c>
      <c r="L6" s="5">
        <f>clean_base*L3/occ_stab</f>
        <v>70743.56072727274</v>
      </c>
    </row>
    <row r="7" spans="1:12" x14ac:dyDescent="0.25">
      <c r="A7" t="s">
        <v>171</v>
      </c>
      <c r="C7" s="5">
        <f>mtr_rent_a*(1+mtr_rinfl)^MAX(0,1-2)</f>
        <v>64254.545454545434</v>
      </c>
      <c r="D7" s="5">
        <f>mtr_rent_a*(1+mtr_rinfl)^MAX(0,2-2)</f>
        <v>64254.545454545434</v>
      </c>
      <c r="E7" s="5">
        <f>mtr_rent_a*(1+mtr_rinfl)^MAX(0,3-2)</f>
        <v>65539.63636363634</v>
      </c>
      <c r="F7" s="5">
        <f>mtr_rent_a*(1+mtr_rinfl)^MAX(0,4-2)</f>
        <v>66850.42909090906</v>
      </c>
      <c r="G7" s="5">
        <f>mtr_rent_a*(1+mtr_rinfl)^MAX(0,5-2)</f>
        <v>68187.43767272726</v>
      </c>
      <c r="H7" s="5">
        <f>mtr_rent_a*(1+mtr_rinfl)^MAX(0,6-2)</f>
        <v>69551.1864261818</v>
      </c>
      <c r="I7" s="5">
        <f>mtr_rent_a*(1+mtr_rinfl)^MAX(0,7-2)</f>
        <v>70942.21015470543</v>
      </c>
      <c r="J7" s="5">
        <f>mtr_rent_a*(1+mtr_rinfl)^MAX(0,8-2)</f>
        <v>72361.05435779954</v>
      </c>
      <c r="K7" s="5">
        <f>mtr_rent_a*(1+mtr_rinfl)^MAX(0,9-2)</f>
        <v>73808.27544495554</v>
      </c>
      <c r="L7" s="5">
        <f>mtr_rent_a*(1+mtr_rinfl)^MAX(0,10-2)</f>
        <v>75284.44095385465</v>
      </c>
    </row>
    <row r="8" spans="1:12" x14ac:dyDescent="0.25">
      <c r="A8" t="s">
        <v>172</v>
      </c>
      <c r="C8" s="5">
        <f>(anc_a+anc_units)*(1+cost_infl)^MAX(0,1-2)</f>
        <v>34800</v>
      </c>
      <c r="D8" s="5">
        <f>(anc_a+anc_units)*(1+cost_infl)^MAX(0,2-2)</f>
        <v>34800</v>
      </c>
      <c r="E8" s="5">
        <f>(anc_a+anc_units)*(1+cost_infl)^MAX(0,3-2)</f>
        <v>35496</v>
      </c>
      <c r="F8" s="5">
        <f>(anc_a+anc_units)*(1+cost_infl)^MAX(0,4-2)</f>
        <v>36205.92</v>
      </c>
      <c r="G8" s="5">
        <f>(anc_a+anc_units)*(1+cost_infl)^MAX(0,5-2)</f>
        <v>36930.038400000005</v>
      </c>
      <c r="H8" s="5">
        <f>(anc_a+anc_units)*(1+cost_infl)^MAX(0,6-2)</f>
        <v>37668.639168</v>
      </c>
      <c r="I8" s="5">
        <f>(anc_a+anc_units)*(1+cost_infl)^MAX(0,7-2)</f>
        <v>38422.01195136</v>
      </c>
      <c r="J8" s="5">
        <f>(anc_a+anc_units)*(1+cost_infl)^MAX(0,8-2)</f>
        <v>39190.4521903872</v>
      </c>
      <c r="K8" s="5">
        <f>(anc_a+anc_units)*(1+cost_infl)^MAX(0,9-2)</f>
        <v>39974.26123419494</v>
      </c>
      <c r="L8" s="5">
        <f>(anc_a+anc_units)*(1+cost_infl)^MAX(0,10-2)</f>
        <v>40773.74645887885</v>
      </c>
    </row>
    <row r="9" spans="1:12" x14ac:dyDescent="0.25">
      <c r="A9" s="3" t="s">
        <v>173</v>
      </c>
      <c r="C9" s="5">
        <f>C5+C6+C7+C8</f>
        <v>894837.4273574038</v>
      </c>
      <c r="D9" s="5">
        <f>D5+D6+D7+D8</f>
        <v>966199.3784608211</v>
      </c>
      <c r="E9" s="5">
        <f>E5+E6+E7+E8</f>
        <v>1017695.6548771311</v>
      </c>
      <c r="F9" s="5">
        <f>F5+F6+F7+F8</f>
        <v>1036634.6967601283</v>
      </c>
      <c r="G9" s="5">
        <f>G5+G6+G7+G8</f>
        <v>1055952.5194807854</v>
      </c>
      <c r="H9" s="5">
        <f>H5+H6+H7+H8</f>
        <v>1075656.6986558556</v>
      </c>
      <c r="I9" s="5">
        <f>I5+I6+I7+I8</f>
        <v>1095754.961414427</v>
      </c>
      <c r="J9" s="5">
        <f>J5+J6+J7+J8</f>
        <v>1116255.1894281704</v>
      </c>
      <c r="K9" s="5">
        <f>K5+K6+K7+K8</f>
        <v>1137165.4220021884</v>
      </c>
      <c r="L9" s="5">
        <f>L5+L6+L7+L8</f>
        <v>1158493.8592276867</v>
      </c>
    </row>
    <row r="10" spans="1:12" x14ac:dyDescent="0.25">
      <c r="A10" t="s">
        <v>174</v>
      </c>
      <c r="C10" s="5">
        <f>-(C5+C6)*comm_pct</f>
        <v>-135283.08992348594</v>
      </c>
      <c r="D10" s="5">
        <f>-(D5+D6)*comm_pct</f>
        <v>-147414.6216110669</v>
      </c>
      <c r="E10" s="5">
        <f>-(E5+E6)*comm_pct</f>
        <v>-155832.20314729412</v>
      </c>
      <c r="F10" s="5">
        <f>-(F5+F6)*comm_pct</f>
        <v>-158708.31910376725</v>
      </c>
      <c r="G10" s="5">
        <f>-(G5+G6)*comm_pct</f>
        <v>-161641.95737936988</v>
      </c>
      <c r="H10" s="5">
        <f>-(H5+H6)*comm_pct</f>
        <v>-164634.26842048456</v>
      </c>
      <c r="I10" s="5">
        <f>-(I5+I6)*comm_pct</f>
        <v>-167686.4256824215</v>
      </c>
      <c r="J10" s="5">
        <f>-(J5+J6)*comm_pct</f>
        <v>-170799.6260895972</v>
      </c>
      <c r="K10" s="5">
        <f>-(K5+K6)*comm_pct</f>
        <v>-173975.09050491644</v>
      </c>
      <c r="L10" s="5">
        <f>-(L5+L6)*comm_pct</f>
        <v>-177214.06420854205</v>
      </c>
    </row>
    <row r="11" spans="1:12" x14ac:dyDescent="0.25">
      <c r="A11" t="s">
        <v>175</v>
      </c>
      <c r="C11" s="5">
        <f>-turn_base*C3/occ_stab*hk_hours*hk_rate*C35</f>
        <v>-53926.56000000001</v>
      </c>
      <c r="D11" s="5">
        <f>-turn_base*D3/occ_stab*hk_hours*hk_rate*D35</f>
        <v>-57176.34480000002</v>
      </c>
      <c r="E11" s="5">
        <f>-turn_base*E3/occ_stab*hk_hours*hk_rate*E35</f>
        <v>-60534.48564679683</v>
      </c>
      <c r="F11" s="5">
        <f>-turn_base*F3/occ_stab*hk_hours*hk_rate*F35</f>
        <v>-61745.17535973277</v>
      </c>
      <c r="G11" s="5">
        <f>-turn_base*G3/occ_stab*hk_hours*hk_rate*G35</f>
        <v>-62980.07886692742</v>
      </c>
      <c r="H11" s="5">
        <f>-turn_base*H3/occ_stab*hk_hours*hk_rate*H35</f>
        <v>-64239.68044426596</v>
      </c>
      <c r="I11" s="5">
        <f>-turn_base*I3/occ_stab*hk_hours*hk_rate*I35</f>
        <v>-65524.47405315129</v>
      </c>
      <c r="J11" s="5">
        <f>-turn_base*J3/occ_stab*hk_hours*hk_rate*J35</f>
        <v>-66834.96353421432</v>
      </c>
      <c r="K11" s="5">
        <f>-turn_base*K3/occ_stab*hk_hours*hk_rate*K35</f>
        <v>-68171.6628048986</v>
      </c>
      <c r="L11" s="5">
        <f>-turn_base*L3/occ_stab*hk_hours*hk_rate*L35</f>
        <v>-69535.09606099658</v>
      </c>
    </row>
    <row r="12" spans="1:12" x14ac:dyDescent="0.25">
      <c r="A12" t="s">
        <v>176</v>
      </c>
      <c r="C12" s="5">
        <f>-turn_base*C3/occ_stab*linen_t*C35</f>
        <v>-9986.400000000001</v>
      </c>
      <c r="D12" s="5">
        <f>-turn_base*D3/occ_stab*linen_t*D35</f>
        <v>-10588.212000000005</v>
      </c>
      <c r="E12" s="5">
        <f>-turn_base*E3/occ_stab*linen_t*E35</f>
        <v>-11210.089934592004</v>
      </c>
      <c r="F12" s="5">
        <f>-turn_base*F3/occ_stab*linen_t*F35</f>
        <v>-11434.291733283846</v>
      </c>
      <c r="G12" s="5">
        <f>-turn_base*G3/occ_stab*linen_t*G35</f>
        <v>-11662.977567949521</v>
      </c>
      <c r="H12" s="5">
        <f>-turn_base*H3/occ_stab*linen_t*H35</f>
        <v>-11896.237119308513</v>
      </c>
      <c r="I12" s="5">
        <f>-turn_base*I3/occ_stab*linen_t*I35</f>
        <v>-12134.161861694683</v>
      </c>
      <c r="J12" s="5">
        <f>-turn_base*J3/occ_stab*linen_t*J35</f>
        <v>-12376.845098928577</v>
      </c>
      <c r="K12" s="5">
        <f>-turn_base*K3/occ_stab*linen_t*K35</f>
        <v>-12624.38200090715</v>
      </c>
      <c r="L12" s="5">
        <f>-turn_base*L3/occ_stab*linen_t*L35</f>
        <v>-12876.869640925292</v>
      </c>
    </row>
    <row r="13" spans="1:12" x14ac:dyDescent="0.25">
      <c r="A13" t="s">
        <v>177</v>
      </c>
      <c r="C13" s="5">
        <f>-turn_base*C3/occ_stab*amen_t*C35</f>
        <v>-5991.840000000001</v>
      </c>
      <c r="D13" s="5">
        <f>-turn_base*D3/occ_stab*amen_t*D35</f>
        <v>-6352.927200000003</v>
      </c>
      <c r="E13" s="5">
        <f>-turn_base*E3/occ_stab*amen_t*E35</f>
        <v>-6726.053960755202</v>
      </c>
      <c r="F13" s="5">
        <f>-turn_base*F3/occ_stab*amen_t*F35</f>
        <v>-6860.575039970307</v>
      </c>
      <c r="G13" s="5">
        <f>-turn_base*G3/occ_stab*amen_t*G35</f>
        <v>-6997.786540769712</v>
      </c>
      <c r="H13" s="5">
        <f>-turn_base*H3/occ_stab*amen_t*H35</f>
        <v>-7137.742271585107</v>
      </c>
      <c r="I13" s="5">
        <f>-turn_base*I3/occ_stab*amen_t*I35</f>
        <v>-7280.497117016809</v>
      </c>
      <c r="J13" s="5">
        <f>-turn_base*J3/occ_stab*amen_t*J35</f>
        <v>-7426.107059357145</v>
      </c>
      <c r="K13" s="5">
        <f>-turn_base*K3/occ_stab*amen_t*K35</f>
        <v>-7574.629200544288</v>
      </c>
      <c r="L13" s="5">
        <f>-turn_base*L3/occ_stab*amen_t*L35</f>
        <v>-7726.121784555175</v>
      </c>
    </row>
    <row r="14" spans="1:12" x14ac:dyDescent="0.25">
      <c r="A14" s="3" t="s">
        <v>178</v>
      </c>
      <c r="C14" s="5">
        <f>C10+C11+C12+C13</f>
        <v>-205187.88992348596</v>
      </c>
      <c r="D14" s="5">
        <f>D10+D11+D12+D13</f>
        <v>-221532.10561106692</v>
      </c>
      <c r="E14" s="5">
        <f>E10+E11+E12+E13</f>
        <v>-234302.83268943816</v>
      </c>
      <c r="F14" s="5">
        <f>F10+F11+F12+F13</f>
        <v>-238748.36123675416</v>
      </c>
      <c r="G14" s="5">
        <f>G10+G11+G12+G13</f>
        <v>-243282.80035501654</v>
      </c>
      <c r="H14" s="5">
        <f>H10+H11+H12+H13</f>
        <v>-247907.92825564416</v>
      </c>
      <c r="I14" s="5">
        <f>I10+I11+I12+I13</f>
        <v>-252625.5587142843</v>
      </c>
      <c r="J14" s="5">
        <f>J10+J11+J12+J13</f>
        <v>-257437.54178209725</v>
      </c>
      <c r="K14" s="5">
        <f>K10+K11+K12+K13</f>
        <v>-262345.7645112665</v>
      </c>
      <c r="L14" s="5">
        <f>L10+L11+L12+L13</f>
        <v>-267352.1516950191</v>
      </c>
    </row>
    <row r="15" spans="1:12" x14ac:dyDescent="0.25">
      <c r="A15" t="s">
        <v>179</v>
      </c>
      <c r="C15" s="5">
        <f>-admin_m*12*C35</f>
        <v>-2400</v>
      </c>
      <c r="D15" s="5">
        <f>-admin_m*12*D35</f>
        <v>-2448</v>
      </c>
      <c r="E15" s="5">
        <f>-admin_m*12*E35</f>
        <v>-2496.96</v>
      </c>
      <c r="F15" s="5">
        <f>-admin_m*12*F35</f>
        <v>-2546.8992000000003</v>
      </c>
      <c r="G15" s="5">
        <f>-admin_m*12*G35</f>
        <v>-2597.837184</v>
      </c>
      <c r="H15" s="5">
        <f>-admin_m*12*H35</f>
        <v>-2649.7939276800003</v>
      </c>
      <c r="I15" s="5">
        <f>-admin_m*12*I35</f>
        <v>-2702.7898062336003</v>
      </c>
      <c r="J15" s="5">
        <f>-admin_m*12*J35</f>
        <v>-2756.845602358272</v>
      </c>
      <c r="K15" s="5">
        <f>-admin_m*12*K35</f>
        <v>-2811.982514405438</v>
      </c>
      <c r="L15" s="5">
        <f>-admin_m*12*L35</f>
        <v>-2868.2221646935463</v>
      </c>
    </row>
    <row r="16" spans="1:12" x14ac:dyDescent="0.25">
      <c r="A16" t="s">
        <v>180</v>
      </c>
      <c r="C16" s="5">
        <f>-(unit_n*util_m+mtr_n*mtr_util_m+cost_unit_n*commu_m)*12*C35</f>
        <v>-30456</v>
      </c>
      <c r="D16" s="5">
        <f>-(unit_n*util_m+mtr_n*mtr_util_m+cost_unit_n*commu_m)*12*D35</f>
        <v>-31065.12</v>
      </c>
      <c r="E16" s="5">
        <f>-(unit_n*util_m+mtr_n*mtr_util_m+cost_unit_n*commu_m)*12*E35</f>
        <v>-31686.4224</v>
      </c>
      <c r="F16" s="5">
        <f>-(unit_n*util_m+mtr_n*mtr_util_m+cost_unit_n*commu_m)*12*F35</f>
        <v>-32320.150848000005</v>
      </c>
      <c r="G16" s="5">
        <f>-(unit_n*util_m+mtr_n*mtr_util_m+cost_unit_n*commu_m)*12*G35</f>
        <v>-32966.55386496</v>
      </c>
      <c r="H16" s="5">
        <f>-(unit_n*util_m+mtr_n*mtr_util_m+cost_unit_n*commu_m)*12*H35</f>
        <v>-33625.8849422592</v>
      </c>
      <c r="I16" s="5">
        <f>-(unit_n*util_m+mtr_n*mtr_util_m+cost_unit_n*commu_m)*12*I35</f>
        <v>-34298.40264110439</v>
      </c>
      <c r="J16" s="5">
        <f>-(unit_n*util_m+mtr_n*mtr_util_m+cost_unit_n*commu_m)*12*J35</f>
        <v>-34984.370693926474</v>
      </c>
      <c r="K16" s="5">
        <f>-(unit_n*util_m+mtr_n*mtr_util_m+cost_unit_n*commu_m)*12*K35</f>
        <v>-35684.05810780501</v>
      </c>
      <c r="L16" s="5">
        <f>-(unit_n*util_m+mtr_n*mtr_util_m+cost_unit_n*commu_m)*12*L35</f>
        <v>-36397.73926996111</v>
      </c>
    </row>
    <row r="17" spans="1:12" x14ac:dyDescent="0.25">
      <c r="A17" t="s">
        <v>181</v>
      </c>
      <c r="C17" s="5">
        <f>-C9*maint_pct</f>
        <v>-10738.049128288845</v>
      </c>
      <c r="D17" s="5">
        <f>-D9*maint_pct</f>
        <v>-11594.392541529854</v>
      </c>
      <c r="E17" s="5">
        <f>-E9*maint_pct</f>
        <v>-12212.347858525574</v>
      </c>
      <c r="F17" s="5">
        <f>-F9*maint_pct</f>
        <v>-12439.61636112154</v>
      </c>
      <c r="G17" s="5">
        <f>-G9*maint_pct</f>
        <v>-12671.430233769424</v>
      </c>
      <c r="H17" s="5">
        <f>-H9*maint_pct</f>
        <v>-12907.880383870268</v>
      </c>
      <c r="I17" s="5">
        <f>-I9*maint_pct</f>
        <v>-13149.059536973125</v>
      </c>
      <c r="J17" s="5">
        <f>-J9*maint_pct</f>
        <v>-13395.062273138046</v>
      </c>
      <c r="K17" s="5">
        <f>-K9*maint_pct</f>
        <v>-13645.985064026261</v>
      </c>
      <c r="L17" s="5">
        <f>-L9*maint_pct</f>
        <v>-13901.92631073224</v>
      </c>
    </row>
    <row r="18" spans="1:12" x14ac:dyDescent="0.25">
      <c r="A18" t="s">
        <v>182</v>
      </c>
      <c r="C18" s="5">
        <f>-cost_unit_n*12*it_m*C35</f>
        <v>-11520</v>
      </c>
      <c r="D18" s="5">
        <f>-cost_unit_n*12*it_m*D35</f>
        <v>-11750.4</v>
      </c>
      <c r="E18" s="5">
        <f>-cost_unit_n*12*it_m*E35</f>
        <v>-11985.408</v>
      </c>
      <c r="F18" s="5">
        <f>-cost_unit_n*12*it_m*F35</f>
        <v>-12225.116160000001</v>
      </c>
      <c r="G18" s="5">
        <f>-cost_unit_n*12*it_m*G35</f>
        <v>-12469.6184832</v>
      </c>
      <c r="H18" s="5">
        <f>-cost_unit_n*12*it_m*H35</f>
        <v>-12719.010852864</v>
      </c>
      <c r="I18" s="5">
        <f>-cost_unit_n*12*it_m*I35</f>
        <v>-12973.391069921281</v>
      </c>
      <c r="J18" s="5">
        <f>-cost_unit_n*12*it_m*J35</f>
        <v>-13232.858891319705</v>
      </c>
      <c r="K18" s="5">
        <f>-cost_unit_n*12*it_m*K35</f>
        <v>-13497.5160691461</v>
      </c>
      <c r="L18" s="5">
        <f>-cost_unit_n*12*it_m*L35</f>
        <v>-13767.466390529024</v>
      </c>
    </row>
    <row r="19" spans="1:12" x14ac:dyDescent="0.25">
      <c r="A19" t="s">
        <v>183</v>
      </c>
      <c r="C19" s="5">
        <f>IF(1=1,-4200*1,0)</f>
        <v>-4200</v>
      </c>
      <c r="D19" s="5">
        <f>IF(2=1,-4200*1,0)</f>
        <v>0</v>
      </c>
      <c r="E19" s="5">
        <f>IF(3=1,-4200*1,0)</f>
        <v>0</v>
      </c>
      <c r="F19" s="5">
        <f>IF(4=1,-4200*1,0)</f>
        <v>0</v>
      </c>
      <c r="G19" s="5">
        <f>IF(5=1,-4200*1,0)</f>
        <v>0</v>
      </c>
      <c r="H19" s="5">
        <f>IF(6=1,-4200*1,0)</f>
        <v>0</v>
      </c>
      <c r="I19" s="5">
        <f>IF(7=1,-4200*1,0)</f>
        <v>0</v>
      </c>
      <c r="J19" s="5">
        <f>IF(8=1,-4200*1,0)</f>
        <v>0</v>
      </c>
      <c r="K19" s="5">
        <f>IF(9=1,-4200*1,0)</f>
        <v>0</v>
      </c>
      <c r="L19" s="5">
        <f>IF(10=1,-4200*1,0)</f>
        <v>0</v>
      </c>
    </row>
    <row r="20" spans="1:12" x14ac:dyDescent="0.25">
      <c r="A20" t="s">
        <v>184</v>
      </c>
      <c r="C20" s="5">
        <f>-15000*C35</f>
        <v>-15000</v>
      </c>
      <c r="D20" s="5">
        <f>-15000*D35</f>
        <v>-15300</v>
      </c>
      <c r="E20" s="5">
        <f>-15000*E35</f>
        <v>-15606</v>
      </c>
      <c r="F20" s="5">
        <f>-15000*F35</f>
        <v>-15918.120000000003</v>
      </c>
      <c r="G20" s="5">
        <f>-15000*G35</f>
        <v>-16236.482399999999</v>
      </c>
      <c r="H20" s="5">
        <f>-15000*H35</f>
        <v>-16561.212048</v>
      </c>
      <c r="I20" s="5">
        <f>-15000*I35</f>
        <v>-16892.43628896</v>
      </c>
      <c r="J20" s="5">
        <f>-15000*J35</f>
        <v>-17230.285014739202</v>
      </c>
      <c r="K20" s="5">
        <f>-15000*K35</f>
        <v>-17574.890715033987</v>
      </c>
      <c r="L20" s="5">
        <f>-15000*L35</f>
        <v>-17926.388529334665</v>
      </c>
    </row>
    <row r="21" spans="1:12" x14ac:dyDescent="0.25">
      <c r="A21" t="s">
        <v>185</v>
      </c>
      <c r="C21" s="5">
        <f>-4*cost_unit_n*12*C35</f>
        <v>-1152</v>
      </c>
      <c r="D21" s="5">
        <f>-4*cost_unit_n*12*D35</f>
        <v>-1175.04</v>
      </c>
      <c r="E21" s="5">
        <f>-4*cost_unit_n*12*E35</f>
        <v>-1198.5408</v>
      </c>
      <c r="F21" s="5">
        <f>-4*cost_unit_n*12*F35</f>
        <v>-1222.5116160000002</v>
      </c>
      <c r="G21" s="5">
        <f>-4*cost_unit_n*12*G35</f>
        <v>-1246.96184832</v>
      </c>
      <c r="H21" s="5">
        <f>-4*cost_unit_n*12*H35</f>
        <v>-1271.9010852864</v>
      </c>
      <c r="I21" s="5">
        <f>-4*cost_unit_n*12*I35</f>
        <v>-1297.339106992128</v>
      </c>
      <c r="J21" s="5">
        <f>-4*cost_unit_n*12*J35</f>
        <v>-1323.2858891319706</v>
      </c>
      <c r="K21" s="5">
        <f>-4*cost_unit_n*12*K35</f>
        <v>-1349.7516069146102</v>
      </c>
      <c r="L21" s="5">
        <f>-4*cost_unit_n*12*L35</f>
        <v>-1376.7466390529023</v>
      </c>
    </row>
    <row r="22" spans="1:12" x14ac:dyDescent="0.25">
      <c r="A22" s="3" t="s">
        <v>186</v>
      </c>
      <c r="C22" s="5">
        <f>C15+C16+C17+C18+C19+C20+C21</f>
        <v>-75466.04912828884</v>
      </c>
      <c r="D22" s="5">
        <f>D15+D16+D17+D18+D19+D20+D21</f>
        <v>-73332.95254152986</v>
      </c>
      <c r="E22" s="5">
        <f>E15+E16+E17+E18+E19+E20+E21</f>
        <v>-75185.67905852558</v>
      </c>
      <c r="F22" s="5">
        <f>F15+F16+F17+F18+F19+F20+F21</f>
        <v>-76672.41418512154</v>
      </c>
      <c r="G22" s="5">
        <f>G15+G16+G17+G18+G19+G20+G21</f>
        <v>-78188.88401424942</v>
      </c>
      <c r="H22" s="5">
        <f>H15+H16+H17+H18+H19+H20+H21</f>
        <v>-79735.68323995988</v>
      </c>
      <c r="I22" s="5">
        <f>I15+I16+I17+I18+I19+I20+I21</f>
        <v>-81313.41845018452</v>
      </c>
      <c r="J22" s="5">
        <f>J15+J16+J17+J18+J19+J20+J21</f>
        <v>-82922.70836461367</v>
      </c>
      <c r="K22" s="5">
        <f>K15+K16+K17+K18+K19+K20+K21</f>
        <v>-84564.18407733142</v>
      </c>
      <c r="L22" s="5">
        <f>L15+L16+L17+L18+L19+L20+L21</f>
        <v>-86238.48930430348</v>
      </c>
    </row>
    <row r="23" spans="1:12" x14ac:dyDescent="0.25">
      <c r="A23" s="3" t="s">
        <v>187</v>
      </c>
      <c r="C23" s="5">
        <f>C9+C14+C22</f>
        <v>614183.488305629</v>
      </c>
      <c r="D23" s="5">
        <f>D9+D14+D22</f>
        <v>671334.3203082243</v>
      </c>
      <c r="E23" s="5">
        <f>E9+E14+E22</f>
        <v>708207.1431291674</v>
      </c>
      <c r="F23" s="5">
        <f>F9+F14+F22</f>
        <v>721213.9213382524</v>
      </c>
      <c r="G23" s="5">
        <f>G9+G14+G22</f>
        <v>734480.8351115193</v>
      </c>
      <c r="H23" s="5">
        <f>H9+H14+H22</f>
        <v>748013.0871602515</v>
      </c>
      <c r="I23" s="5">
        <f>I9+I14+I22</f>
        <v>761815.9842499583</v>
      </c>
      <c r="J23" s="5">
        <f>J9+J14+J22</f>
        <v>775894.9392814593</v>
      </c>
      <c r="K23" s="5">
        <f>K9+K14+K22</f>
        <v>790255.4734135906</v>
      </c>
      <c r="L23" s="5">
        <f>L9+L14+L22</f>
        <v>804903.2182283641</v>
      </c>
    </row>
    <row r="24" spans="1:12" x14ac:dyDescent="0.25">
      <c r="A24" t="s">
        <v>188</v>
      </c>
      <c r="C24" s="5">
        <f>-C9*mgmt_pct</f>
        <v>-138699.8012403976</v>
      </c>
      <c r="D24" s="5">
        <f>-D9*mgmt_pct</f>
        <v>-149760.90366142726</v>
      </c>
      <c r="E24" s="5">
        <f>-E9*mgmt_pct</f>
        <v>-157742.8265059553</v>
      </c>
      <c r="F24" s="5">
        <f>-F9*mgmt_pct</f>
        <v>-160678.3779978199</v>
      </c>
      <c r="G24" s="5">
        <f>-G9*mgmt_pct</f>
        <v>-163672.64051952172</v>
      </c>
      <c r="H24" s="5">
        <f>-H9*mgmt_pct</f>
        <v>-166726.7882916576</v>
      </c>
      <c r="I24" s="5">
        <f>-I9*mgmt_pct</f>
        <v>-169842.01901923618</v>
      </c>
      <c r="J24" s="5">
        <f>-J9*mgmt_pct</f>
        <v>-173019.5543613664</v>
      </c>
      <c r="K24" s="5">
        <f>-K9*mgmt_pct</f>
        <v>-176260.6404103392</v>
      </c>
      <c r="L24" s="5">
        <f>-L9*mgmt_pct</f>
        <v>-179566.54818029143</v>
      </c>
    </row>
    <row r="25" spans="1:12" x14ac:dyDescent="0.25">
      <c r="A25" s="3" t="s">
        <v>189</v>
      </c>
      <c r="C25" s="5">
        <f>C24</f>
        <v>-138699.8012403976</v>
      </c>
      <c r="D25" s="5">
        <f>D24</f>
        <v>-149760.90366142726</v>
      </c>
      <c r="E25" s="5">
        <f>E24</f>
        <v>-157742.8265059553</v>
      </c>
      <c r="F25" s="5">
        <f>F24</f>
        <v>-160678.3779978199</v>
      </c>
      <c r="G25" s="5">
        <f>G24</f>
        <v>-163672.64051952172</v>
      </c>
      <c r="H25" s="5">
        <f>H24</f>
        <v>-166726.7882916576</v>
      </c>
      <c r="I25" s="5">
        <f>I24</f>
        <v>-169842.01901923618</v>
      </c>
      <c r="J25" s="5">
        <f>J24</f>
        <v>-173019.5543613664</v>
      </c>
      <c r="K25" s="5">
        <f>K24</f>
        <v>-176260.6404103392</v>
      </c>
      <c r="L25" s="5">
        <f>L24</f>
        <v>-179566.54818029143</v>
      </c>
    </row>
    <row r="26" spans="1:12" x14ac:dyDescent="0.25">
      <c r="A26" s="3" t="s">
        <v>190</v>
      </c>
      <c r="C26" s="5">
        <f>C23+C25</f>
        <v>475483.6870652314</v>
      </c>
      <c r="D26" s="5">
        <f>D23+D25</f>
        <v>521573.4166467971</v>
      </c>
      <c r="E26" s="5">
        <f>E23+E25</f>
        <v>550464.3166232121</v>
      </c>
      <c r="F26" s="5">
        <f>F23+F25</f>
        <v>560535.5433404325</v>
      </c>
      <c r="G26" s="5">
        <f>G23+G25</f>
        <v>570808.1945919977</v>
      </c>
      <c r="H26" s="5">
        <f>H23+H25</f>
        <v>581286.2988685939</v>
      </c>
      <c r="I26" s="5">
        <f>I23+I25</f>
        <v>591973.9652307221</v>
      </c>
      <c r="J26" s="5">
        <f>J23+J25</f>
        <v>602875.3849200929</v>
      </c>
      <c r="K26" s="5">
        <f>K23+K25</f>
        <v>613994.8330032513</v>
      </c>
      <c r="L26" s="5">
        <f>L23+L25</f>
        <v>625336.6700480727</v>
      </c>
    </row>
    <row r="27" spans="1:12" x14ac:dyDescent="0.25">
      <c r="A27" t="s">
        <v>191</v>
      </c>
      <c r="C27" s="5">
        <f>-ibi_a*C35</f>
        <v>-8300</v>
      </c>
      <c r="D27" s="5">
        <f>-ibi_a*D35</f>
        <v>-8466</v>
      </c>
      <c r="E27" s="5">
        <f>-ibi_a*E35</f>
        <v>-8635.32</v>
      </c>
      <c r="F27" s="5">
        <f>-ibi_a*F35</f>
        <v>-8808.0264</v>
      </c>
      <c r="G27" s="5">
        <f>-ibi_a*G35</f>
        <v>-8984.186928</v>
      </c>
      <c r="H27" s="5">
        <f>-ibi_a*H35</f>
        <v>-9163.87066656</v>
      </c>
      <c r="I27" s="5">
        <f>-ibi_a*I35</f>
        <v>-9347.1480798912</v>
      </c>
      <c r="J27" s="5">
        <f>-ibi_a*J35</f>
        <v>-9534.091041489024</v>
      </c>
      <c r="K27" s="5">
        <f>-ibi_a*K35</f>
        <v>-9724.772862318805</v>
      </c>
      <c r="L27" s="5">
        <f>-ibi_a*L35</f>
        <v>-9919.268319565183</v>
      </c>
    </row>
    <row r="28" spans="1:12" x14ac:dyDescent="0.25">
      <c r="A28" t="s">
        <v>192</v>
      </c>
      <c r="C28" s="5">
        <f>-cost_unit_n*12*ins_m*C35</f>
        <v>-4320</v>
      </c>
      <c r="D28" s="5">
        <f>-cost_unit_n*12*ins_m*D35</f>
        <v>-4406.4</v>
      </c>
      <c r="E28" s="5">
        <f>-cost_unit_n*12*ins_m*E35</f>
        <v>-4494.528</v>
      </c>
      <c r="F28" s="5">
        <f>-cost_unit_n*12*ins_m*F35</f>
        <v>-4584.418560000001</v>
      </c>
      <c r="G28" s="5">
        <f>-cost_unit_n*12*ins_m*G35</f>
        <v>-4676.1069312</v>
      </c>
      <c r="H28" s="5">
        <f>-cost_unit_n*12*ins_m*H35</f>
        <v>-4769.629069824</v>
      </c>
      <c r="I28" s="5">
        <f>-cost_unit_n*12*ins_m*I35</f>
        <v>-4865.021651220481</v>
      </c>
      <c r="J28" s="5">
        <f>-cost_unit_n*12*ins_m*J35</f>
        <v>-4962.32208424489</v>
      </c>
      <c r="K28" s="5">
        <f>-cost_unit_n*12*ins_m*K35</f>
        <v>-5061.568525929788</v>
      </c>
      <c r="L28" s="5">
        <f>-cost_unit_n*12*ins_m*L35</f>
        <v>-5162.799896448384</v>
      </c>
    </row>
    <row r="29" spans="1:12" x14ac:dyDescent="0.25">
      <c r="A29" s="3" t="s">
        <v>193</v>
      </c>
      <c r="C29" s="5">
        <f>C27+C28</f>
        <v>-12620</v>
      </c>
      <c r="D29" s="5">
        <f>D27+D28</f>
        <v>-12872.4</v>
      </c>
      <c r="E29" s="5">
        <f>E27+E28</f>
        <v>-13129.848</v>
      </c>
      <c r="F29" s="5">
        <f>F27+F28</f>
        <v>-13392.44496</v>
      </c>
      <c r="G29" s="5">
        <f>G27+G28</f>
        <v>-13660.2938592</v>
      </c>
      <c r="H29" s="5">
        <f>H27+H28</f>
        <v>-13933.499736384001</v>
      </c>
      <c r="I29" s="5">
        <f>I27+I28</f>
        <v>-14212.16973111168</v>
      </c>
      <c r="J29" s="5">
        <f>J27+J28</f>
        <v>-14496.413125733914</v>
      </c>
      <c r="K29" s="5">
        <f>K27+K28</f>
        <v>-14786.341388248593</v>
      </c>
      <c r="L29" s="5">
        <f>L27+L28</f>
        <v>-15082.068216013566</v>
      </c>
    </row>
    <row r="30" spans="1:12" x14ac:dyDescent="0.25">
      <c r="A30" s="3" t="s">
        <v>194</v>
      </c>
      <c r="C30" s="5">
        <f>C26+C29</f>
        <v>462863.6870652314</v>
      </c>
      <c r="D30" s="5">
        <f>D26+D29</f>
        <v>508701.01664679707</v>
      </c>
      <c r="E30" s="5">
        <f>E26+E29</f>
        <v>537334.4686232121</v>
      </c>
      <c r="F30" s="5">
        <f>F26+F29</f>
        <v>547143.0983804325</v>
      </c>
      <c r="G30" s="5">
        <f>G26+G29</f>
        <v>557147.9007327977</v>
      </c>
      <c r="H30" s="5">
        <f>H26+H29</f>
        <v>567352.7991322099</v>
      </c>
      <c r="I30" s="5">
        <f>I26+I29</f>
        <v>577761.7954996104</v>
      </c>
      <c r="J30" s="5">
        <f>J26+J29</f>
        <v>588378.9717943589</v>
      </c>
      <c r="K30" s="5">
        <f>K26+K29</f>
        <v>599208.4916150027</v>
      </c>
      <c r="L30" s="5">
        <f>L26+L29</f>
        <v>610254.6018320591</v>
      </c>
    </row>
    <row r="31" spans="1:12" x14ac:dyDescent="0.25">
      <c r="A31" t="s">
        <v>195</v>
      </c>
      <c r="C31" s="5">
        <f>-C9*ffe_pct</f>
        <v>-22370.935683935095</v>
      </c>
      <c r="D31" s="5">
        <f>-D9*ffe_pct</f>
        <v>-24154.98446152053</v>
      </c>
      <c r="E31" s="5">
        <f>-E9*ffe_pct</f>
        <v>-25442.39137192828</v>
      </c>
      <c r="F31" s="5">
        <f>-F9*ffe_pct</f>
        <v>-25915.867419003207</v>
      </c>
      <c r="G31" s="5">
        <f>-G9*ffe_pct</f>
        <v>-26398.812987019635</v>
      </c>
      <c r="H31" s="5">
        <f>-H9*ffe_pct</f>
        <v>-26891.417466396393</v>
      </c>
      <c r="I31" s="5">
        <f>-I9*ffe_pct</f>
        <v>-27393.874035360677</v>
      </c>
      <c r="J31" s="5">
        <f>-J9*ffe_pct</f>
        <v>-27906.379735704264</v>
      </c>
      <c r="K31" s="5">
        <f>-K9*ffe_pct</f>
        <v>-28429.13555005471</v>
      </c>
      <c r="L31" s="5">
        <f>-L9*ffe_pct</f>
        <v>-28962.34648069217</v>
      </c>
    </row>
    <row r="32" spans="1:12" x14ac:dyDescent="0.25">
      <c r="A32" s="3" t="s">
        <v>196</v>
      </c>
      <c r="C32" s="5">
        <f>C30+C31</f>
        <v>440492.7513812963</v>
      </c>
      <c r="D32" s="5">
        <f>D30+D31</f>
        <v>484546.03218527656</v>
      </c>
      <c r="E32" s="5">
        <f>E30+E31</f>
        <v>511892.07725128374</v>
      </c>
      <c r="F32" s="5">
        <f>F30+F31</f>
        <v>521227.23096142925</v>
      </c>
      <c r="G32" s="5">
        <f>G30+G31</f>
        <v>530749.087745778</v>
      </c>
      <c r="H32" s="5">
        <f>H30+H31</f>
        <v>540461.3816658135</v>
      </c>
      <c r="I32" s="5">
        <f>I30+I31</f>
        <v>550367.9214642497</v>
      </c>
      <c r="J32" s="5">
        <f>J30+J31</f>
        <v>560472.5920586546</v>
      </c>
      <c r="K32" s="5">
        <f>K30+K31</f>
        <v>570779.356064948</v>
      </c>
      <c r="L32" s="5">
        <f>L30+L31</f>
        <v>581292.2553513669</v>
      </c>
    </row>
    <row r="34" spans="1:12" x14ac:dyDescent="0.25">
      <c r="A34" t="s">
        <v>197</v>
      </c>
      <c r="C34" s="5">
        <f>C5+C6+C10+C11+C12+C13</f>
        <v>590594.9919793725</v>
      </c>
      <c r="D34" s="5">
        <f>D5+D6+D10+D11+D12+D13</f>
        <v>645612.7273952088</v>
      </c>
      <c r="E34" s="5">
        <f>E5+E6+E10+E11+E12+E13</f>
        <v>682357.1858240566</v>
      </c>
      <c r="F34" s="5">
        <f>F5+F6+F10+F11+F12+F13</f>
        <v>694829.9864324649</v>
      </c>
      <c r="G34" s="5">
        <f>G5+G6+G10+G11+G12+G13</f>
        <v>707552.2430530415</v>
      </c>
      <c r="H34" s="5">
        <f>H5+H6+H10+H11+H12+H13</f>
        <v>720528.9448060296</v>
      </c>
      <c r="I34" s="5">
        <f>I5+I6+I10+I11+I12+I13</f>
        <v>733765.1805940775</v>
      </c>
      <c r="J34" s="5">
        <f>J5+J6+J10+J11+J12+J13</f>
        <v>747266.1410978863</v>
      </c>
      <c r="K34" s="5">
        <f>K5+K6+K10+K11+K12+K13</f>
        <v>761037.1208117714</v>
      </c>
      <c r="L34" s="5">
        <f>L5+L6+L10+L11+L12+L13</f>
        <v>775083.5201199341</v>
      </c>
    </row>
    <row r="35" spans="1:12" x14ac:dyDescent="0.25">
      <c r="A35" t="s">
        <v>198</v>
      </c>
      <c r="C35" s="13">
        <f>(1+cost_infl)^0</f>
        <v>1</v>
      </c>
      <c r="D35" s="13">
        <f>(1+cost_infl)^1</f>
        <v>1.02</v>
      </c>
      <c r="E35" s="13">
        <f>(1+cost_infl)^2</f>
        <v>1.0404</v>
      </c>
      <c r="F35" s="13">
        <f>(1+cost_infl)^3</f>
        <v>1.0612080000000002</v>
      </c>
      <c r="G35" s="13">
        <f>(1+cost_infl)^4</f>
        <v>1.08243216</v>
      </c>
      <c r="H35" s="13">
        <f>(1+cost_infl)^5</f>
        <v>1.1040808032</v>
      </c>
      <c r="I35" s="13">
        <f>(1+cost_infl)^6</f>
        <v>1.126162419264</v>
      </c>
      <c r="J35" s="13">
        <f>(1+cost_infl)^7</f>
        <v>1.14868566764928</v>
      </c>
      <c r="K35" s="13">
        <f>(1+cost_infl)^8</f>
        <v>1.1716593810022657</v>
      </c>
      <c r="L35" s="13">
        <f>(1+cost_infl)^9</f>
        <v>1.195092568622311</v>
      </c>
    </row>
    <row r="36" spans="1:12" x14ac:dyDescent="0.25">
      <c r="A36" t="s">
        <v>199</v>
      </c>
      <c r="C36" s="5">
        <f>C34+C15+C16+C17+C18+C24+C27+C28+C31+C8+C7</f>
        <v>460844.7513812963</v>
      </c>
      <c r="D36" s="5">
        <f>D34+D15+D16+D17+D18+D24+D27+D28+D31+D8+D7</f>
        <v>501021.07218527654</v>
      </c>
      <c r="E36" s="5">
        <f>E34+E15+E16+E17+E18+E24+E27+E28+E31+E8+E7</f>
        <v>528696.6180512838</v>
      </c>
      <c r="F36" s="5">
        <f>F34+F15+F16+F17+F18+F24+F27+F28+F31+F8+F7</f>
        <v>538367.8625774293</v>
      </c>
      <c r="G36" s="5">
        <f>G34+G15+G16+G17+G18+G24+G27+G28+G31+G8+G7</f>
        <v>548232.531994098</v>
      </c>
      <c r="H36" s="5">
        <f>H34+H15+H16+H17+H18+H24+H27+H28+H31+H8+H7</f>
        <v>558294.4947990999</v>
      </c>
      <c r="I36" s="5">
        <f>I34+I15+I16+I17+I18+I24+I27+I28+I31+I8+I7</f>
        <v>568557.6968602019</v>
      </c>
      <c r="J36" s="5">
        <f>J34+J15+J16+J17+J18+J24+J27+J28+J31+J8+J7</f>
        <v>579026.1629625259</v>
      </c>
      <c r="K36" s="5">
        <f>K34+K15+K16+K17+K18+K24+K27+K28+K31+K8+K7</f>
        <v>589703.9983868966</v>
      </c>
      <c r="L36" s="5">
        <f>L34+L15+L16+L17+L18+L24+L27+L28+L31+L8+L7</f>
        <v>600595.3905197545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12" width="12" customWidth="1"/>
  </cols>
  <sheetData>
    <row r="1" spans="1:1" x14ac:dyDescent="0.25">
      <c r="A1" s="2" t="s">
        <v>200</v>
      </c>
    </row>
    <row r="3" spans="1:2" x14ac:dyDescent="0.25">
      <c r="A3" t="s">
        <v>13</v>
      </c>
      <c r="B3" s="5">
        <f>ltv*tpc</f>
        <v>3457872.448979592</v>
      </c>
    </row>
    <row r="4" spans="1:2" x14ac:dyDescent="0.25">
      <c r="A4" t="s">
        <v>15</v>
      </c>
      <c r="B4" s="5">
        <f>apertura_pct*B3+ajdm_pct*B3+tasacion_u*units_c+notaria_pct*B3+registro_pct*B3+gestoria_f</f>
        <v>77886.38520408163</v>
      </c>
    </row>
    <row r="5" spans="1:2" x14ac:dyDescent="0.25">
      <c r="A5" t="s">
        <v>16</v>
      </c>
      <c r="B5" s="5">
        <f>tpc-B3+B4</f>
        <v>2907054.75255102</v>
      </c>
    </row>
    <row r="6" spans="1:2" x14ac:dyDescent="0.25">
      <c r="A6" t="s">
        <v>19</v>
      </c>
      <c r="B6" s="5">
        <f>B5*(1-gp_pct)</f>
        <v>2325643.8020408163</v>
      </c>
    </row>
    <row r="7" spans="1:2" x14ac:dyDescent="0.25">
      <c r="A7" t="s">
        <v>20</v>
      </c>
      <c r="B7" s="5">
        <f>B5*gp_pct</f>
        <v>581410.9505102041</v>
      </c>
    </row>
    <row r="8" spans="1:2" x14ac:dyDescent="0.25">
      <c r="A8" t="s">
        <v>21</v>
      </c>
      <c r="B8" s="5">
        <f>-PMT(rate/12,term*12,B3)*12</f>
        <v>281590.44760042604</v>
      </c>
    </row>
    <row r="10" spans="3:12" x14ac:dyDescent="0.25">
      <c r="C10" s="3" t="s">
        <v>158</v>
      </c>
      <c r="D10" s="3" t="s">
        <v>159</v>
      </c>
      <c r="E10" s="3" t="s">
        <v>160</v>
      </c>
      <c r="F10" s="3" t="s">
        <v>161</v>
      </c>
      <c r="G10" s="3" t="s">
        <v>162</v>
      </c>
      <c r="H10" s="3" t="s">
        <v>163</v>
      </c>
      <c r="I10" s="3" t="s">
        <v>164</v>
      </c>
      <c r="J10" s="3" t="s">
        <v>165</v>
      </c>
      <c r="K10" s="3" t="s">
        <v>166</v>
      </c>
      <c r="L10" s="3" t="s">
        <v>167</v>
      </c>
    </row>
    <row r="11" spans="1:12" x14ac:dyDescent="0.25">
      <c r="A11" t="s">
        <v>196</v>
      </c>
      <c r="C11" s="5">
        <f>'P&amp;L'!C32</f>
        <v>440492.7513812963</v>
      </c>
      <c r="D11" s="5">
        <f>'P&amp;L'!D32</f>
        <v>484546.03218527656</v>
      </c>
      <c r="E11" s="5">
        <f>'P&amp;L'!E32</f>
        <v>511892.07725128374</v>
      </c>
      <c r="F11" s="5">
        <f>'P&amp;L'!F32</f>
        <v>521227.23096142925</v>
      </c>
      <c r="G11" s="5">
        <f>'P&amp;L'!G32</f>
        <v>530749.087745778</v>
      </c>
      <c r="H11" s="5">
        <f>'P&amp;L'!H32</f>
        <v>540461.3816658135</v>
      </c>
      <c r="I11" s="5">
        <f>'P&amp;L'!I32</f>
        <v>550367.9214642497</v>
      </c>
      <c r="J11" s="5">
        <f>'P&amp;L'!J32</f>
        <v>560472.5920586546</v>
      </c>
      <c r="K11" s="5">
        <f>'P&amp;L'!K32</f>
        <v>570779.356064948</v>
      </c>
      <c r="L11" s="5">
        <f>'P&amp;L'!L32</f>
        <v>581292.2553513669</v>
      </c>
    </row>
    <row r="12" spans="1:12" x14ac:dyDescent="0.25">
      <c r="A12" t="s">
        <v>201</v>
      </c>
      <c r="C12" s="5">
        <f>IF(B$3=0,0,CUMIPMT(rate/12,term*12,B$3,1,12,0))</f>
        <v>-92722.77904290345</v>
      </c>
      <c r="D12" s="5">
        <f>IF(B$3=0,0,CUMIPMT(rate/12,term*12,B$3,13,24,0))</f>
        <v>-87462.95120691671</v>
      </c>
      <c r="E12" s="5">
        <f>IF(B$3=0,0,CUMIPMT(rate/12,term*12,B$3,25,36,0))</f>
        <v>-82056.64097362226</v>
      </c>
      <c r="F12" s="5">
        <f>IF(B$3=0,0,CUMIPMT(rate/12,term*12,B$3,37,48,0))</f>
        <v>-76499.76891430304</v>
      </c>
      <c r="G12" s="5">
        <f>IF(B$3=0,0,CUMIPMT(rate/12,term*12,B$3,49,60,0))</f>
        <v>-70788.14199110551</v>
      </c>
      <c r="H12" s="5">
        <f>IF(B$3=0,0,CUMIPMT(rate/12,term*12,B$3,61,72,0))</f>
        <v>-64917.45039310768</v>
      </c>
      <c r="I12" s="5">
        <f>IF(B$3=0,0,CUMIPMT(rate/12,term*12,B$3,73,84,0))</f>
        <v>-58883.26428427333</v>
      </c>
      <c r="J12" s="5">
        <f>IF(B$3=0,0,CUMIPMT(rate/12,term*12,B$3,85,96,0))</f>
        <v>-52681.03046083979</v>
      </c>
      <c r="K12" s="5">
        <f>IF(B$3=0,0,CUMIPMT(rate/12,term*12,B$3,97,108,0))</f>
        <v>-46306.06891561588</v>
      </c>
      <c r="L12" s="5">
        <f>IF(B$3=0,0,CUMIPMT(rate/12,term*12,B$3,109,120,0))</f>
        <v>-39753.569306598394</v>
      </c>
    </row>
    <row r="13" spans="1:12" x14ac:dyDescent="0.25">
      <c r="A13" t="s">
        <v>202</v>
      </c>
      <c r="C13" s="5">
        <f>IF(B$3=0,0,CUMPRINC(rate/12,term*12,B$3,1,12,0))</f>
        <v>-188867.6685575226</v>
      </c>
      <c r="D13" s="5">
        <f>IF(B$3=0,0,CUMPRINC(rate/12,term*12,B$3,13,24,0))</f>
        <v>-194127.4963935093</v>
      </c>
      <c r="E13" s="5">
        <f>IF(B$3=0,0,CUMPRINC(rate/12,term*12,B$3,25,36,0))</f>
        <v>-199533.8066268038</v>
      </c>
      <c r="F13" s="5">
        <f>IF(B$3=0,0,CUMPRINC(rate/12,term*12,B$3,37,48,0))</f>
        <v>-205090.678686123</v>
      </c>
      <c r="G13" s="5">
        <f>IF(B$3=0,0,CUMPRINC(rate/12,term*12,B$3,49,60,0))</f>
        <v>-210802.30560932047</v>
      </c>
      <c r="H13" s="5">
        <f>IF(B$3=0,0,CUMPRINC(rate/12,term*12,B$3,61,72,0))</f>
        <v>-216672.99720731832</v>
      </c>
      <c r="I13" s="5">
        <f>IF(B$3=0,0,CUMPRINC(rate/12,term*12,B$3,73,84,0))</f>
        <v>-222707.18331615272</v>
      </c>
      <c r="J13" s="5">
        <f>IF(B$3=0,0,CUMPRINC(rate/12,term*12,B$3,85,96,0))</f>
        <v>-228909.4171395862</v>
      </c>
      <c r="K13" s="5">
        <f>IF(B$3=0,0,CUMPRINC(rate/12,term*12,B$3,97,108,0))</f>
        <v>-235284.37868481013</v>
      </c>
      <c r="L13" s="5">
        <f>IF(B$3=0,0,CUMPRINC(rate/12,term*12,B$3,109,120,0))</f>
        <v>-241836.87829382764</v>
      </c>
    </row>
    <row r="14" spans="1:12" x14ac:dyDescent="0.25">
      <c r="A14" t="s">
        <v>203</v>
      </c>
      <c r="C14" s="5">
        <f>C11+C12+C13</f>
        <v>158902.30378087028</v>
      </c>
      <c r="D14" s="5">
        <f>D11+D12+D13</f>
        <v>202955.58458485056</v>
      </c>
      <c r="E14" s="5">
        <f>E11+E12+E13</f>
        <v>230301.62965085768</v>
      </c>
      <c r="F14" s="5">
        <f>F11+F12+F13</f>
        <v>239636.7833610032</v>
      </c>
      <c r="G14" s="5">
        <f>G11+G12+G13</f>
        <v>249158.64014535205</v>
      </c>
      <c r="H14" s="5">
        <f>H11+H12+H13</f>
        <v>258870.93406538753</v>
      </c>
      <c r="I14" s="5">
        <f>I11+I12+I13</f>
        <v>268777.4738638237</v>
      </c>
      <c r="J14" s="5">
        <f>J11+J12+J13</f>
        <v>278882.1444582286</v>
      </c>
      <c r="K14" s="5">
        <f>K11+K12+K13</f>
        <v>289188.908464522</v>
      </c>
      <c r="L14" s="5">
        <f>L11+L12+L13</f>
        <v>299701.8077509409</v>
      </c>
    </row>
    <row r="15" spans="1:12" x14ac:dyDescent="0.25">
      <c r="A15" t="s">
        <v>204</v>
      </c>
      <c r="C15" s="5">
        <f>MAX(0,C14)</f>
        <v>158902.30378087028</v>
      </c>
      <c r="D15" s="5">
        <f>MAX(0,D14)</f>
        <v>202955.58458485056</v>
      </c>
      <c r="E15" s="5">
        <f>MAX(0,E14)</f>
        <v>230301.62965085768</v>
      </c>
      <c r="F15" s="5">
        <f>MAX(0,F14)</f>
        <v>239636.7833610032</v>
      </c>
      <c r="G15" s="5">
        <f>MAX(0,G14)</f>
        <v>249158.64014535205</v>
      </c>
      <c r="H15" s="5">
        <f>MAX(0,H14)</f>
        <v>258870.93406538753</v>
      </c>
      <c r="I15" s="5">
        <f>MAX(0,I14)</f>
        <v>268777.4738638237</v>
      </c>
      <c r="J15" s="5">
        <f>MAX(0,J14)</f>
        <v>278882.1444582286</v>
      </c>
      <c r="K15" s="5">
        <f>MAX(0,K14)</f>
        <v>289188.908464522</v>
      </c>
      <c r="L15" s="5">
        <f>MAX(0,L14)</f>
        <v>299701.8077509409</v>
      </c>
    </row>
    <row r="16" spans="1:12" x14ac:dyDescent="0.25">
      <c r="A16" t="s">
        <v>205</v>
      </c>
      <c r="C16" s="5">
        <f>2511695.306204082</f>
        <v>2511695.306204082</v>
      </c>
      <c r="D16" s="5">
        <f>2575339.340233736</f>
        <v>2575339.340233736</v>
      </c>
      <c r="E16" s="5">
        <f>2606012.8623711243</f>
        <v>2606012.8623711243</v>
      </c>
      <c r="F16" s="5">
        <f>2615513.2833424737</f>
        <v>2615513.2833424737</v>
      </c>
      <c r="G16" s="5">
        <f>2617708.165185965</f>
        <v>2617708.165185965</v>
      </c>
      <c r="H16" s="5">
        <f>2611851.7533152583</f>
        <v>2611851.7533152583</v>
      </c>
      <c r="I16" s="5">
        <f>2597135.4065479846</f>
        <v>2597135.4065479846</v>
      </c>
      <c r="J16" s="5">
        <f>2572682.5016534794</f>
        <v>2572682.5016534794</v>
      </c>
      <c r="K16" s="5">
        <f>2537542.928973848</f>
        <v>2537542.928973848</v>
      </c>
      <c r="L16" s="5">
        <f>2490687.14637841</f>
        <v>2490687.14637841</v>
      </c>
    </row>
    <row r="17" spans="1:12" x14ac:dyDescent="0.25">
      <c r="A17" t="s">
        <v>206</v>
      </c>
      <c r="C17" s="5">
        <f>2604721.0582857146</f>
        <v>2604721.0582857146</v>
      </c>
      <c r="D17" s="5">
        <f>2774911.1210923404</f>
        <v>2774911.1210923404</v>
      </c>
      <c r="E17" s="5">
        <f>2926052.2518353956</f>
        <v>2926052.2518353956</v>
      </c>
      <c r="F17" s="5">
        <f>3070828.2618884747</f>
        <v>3070828.2618884747</v>
      </c>
      <c r="G17" s="5">
        <f>3224613.095423633</f>
        <v>3224613.095423633</v>
      </c>
      <c r="H17" s="5">
        <f>3388320.525304234</f>
        <v>3388320.525304234</v>
      </c>
      <c r="I17" s="5">
        <f>3562970.6314181555</f>
        <v>3562970.6314181555</v>
      </c>
      <c r="J17" s="5">
        <f>3749702.490606348</f>
        <v>3749702.490606348</v>
      </c>
      <c r="K17" s="5">
        <f>3949788.3880445384</f>
        <v>3949788.3880445384</v>
      </c>
      <c r="L17" s="5">
        <f>4164649.732625671</f>
        <v>4164649.732625671</v>
      </c>
    </row>
    <row r="18" spans="1:12" x14ac:dyDescent="0.25">
      <c r="A18" t="s">
        <v>207</v>
      </c>
      <c r="C18" s="5">
        <f>0</f>
        <v>0</v>
      </c>
      <c r="D18" s="5">
        <f>C18+C22</f>
        <v>127121.84302469622</v>
      </c>
      <c r="E18" s="5">
        <f>D18+D22</f>
        <v>289486.3106925767</v>
      </c>
      <c r="F18" s="5">
        <f>E18+E22</f>
        <v>473727.6144132628</v>
      </c>
      <c r="G18" s="5">
        <f>F18+F22</f>
        <v>665437.0411020654</v>
      </c>
      <c r="H18" s="5">
        <f>G18+G22</f>
        <v>864763.953218347</v>
      </c>
      <c r="I18" s="5">
        <f>H18+H22</f>
        <v>1071860.700470657</v>
      </c>
      <c r="J18" s="5">
        <f>I18+I22</f>
        <v>1286882.679561716</v>
      </c>
      <c r="K18" s="5">
        <f>J18+J22</f>
        <v>1509988.395128299</v>
      </c>
      <c r="L18" s="5">
        <f>K18+K22</f>
        <v>1741339.5218999167</v>
      </c>
    </row>
    <row r="19" spans="1:12" x14ac:dyDescent="0.25">
      <c r="A19" t="s">
        <v>208</v>
      </c>
      <c r="C19" s="5">
        <f>158902.30378087028</f>
        <v>158902.30378087028</v>
      </c>
      <c r="D19" s="5">
        <f>202955.58458485056</f>
        <v>202955.58458485056</v>
      </c>
      <c r="E19" s="5">
        <f>230301.62965085768</f>
        <v>230301.62965085768</v>
      </c>
      <c r="F19" s="5">
        <f>239636.7833610032</f>
        <v>239636.7833610032</v>
      </c>
      <c r="G19" s="5">
        <f>249158.64014535205</f>
        <v>249158.64014535205</v>
      </c>
      <c r="H19" s="5">
        <f>258870.93406538753</f>
        <v>258870.93406538753</v>
      </c>
      <c r="I19" s="5">
        <f>268777.4738638237</f>
        <v>268777.4738638237</v>
      </c>
      <c r="J19" s="5">
        <f>278882.1444582286</f>
        <v>278882.1444582286</v>
      </c>
      <c r="K19" s="5">
        <f>289188.908464522</f>
        <v>289188.908464522</v>
      </c>
      <c r="L19" s="5">
        <f>299701.8077509409</f>
        <v>299701.8077509409</v>
      </c>
    </row>
    <row r="20" spans="1:12" x14ac:dyDescent="0.25">
      <c r="A20" t="s">
        <v>209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  <c r="J20" s="5">
        <f>0</f>
        <v>0</v>
      </c>
      <c r="K20" s="5">
        <f>0</f>
        <v>0</v>
      </c>
      <c r="L20" s="5">
        <f>0</f>
        <v>0</v>
      </c>
    </row>
    <row r="21" spans="1:12" x14ac:dyDescent="0.25">
      <c r="A21" t="s">
        <v>210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  <c r="J21" s="5">
        <f>0</f>
        <v>0</v>
      </c>
      <c r="K21" s="5">
        <f>0</f>
        <v>0</v>
      </c>
      <c r="L21" s="5">
        <f>0</f>
        <v>0</v>
      </c>
    </row>
    <row r="22" spans="1:12" x14ac:dyDescent="0.25">
      <c r="A22" t="s">
        <v>211</v>
      </c>
      <c r="C22" s="5">
        <f>127121.84302469622</f>
        <v>127121.84302469622</v>
      </c>
      <c r="D22" s="5">
        <f>162364.46766788047</f>
        <v>162364.46766788047</v>
      </c>
      <c r="E22" s="5">
        <f>184241.30372068615</f>
        <v>184241.30372068615</v>
      </c>
      <c r="F22" s="5">
        <f>191709.42668880257</f>
        <v>191709.42668880257</v>
      </c>
      <c r="G22" s="5">
        <f>199326.91211628166</f>
        <v>199326.91211628166</v>
      </c>
      <c r="H22" s="5">
        <f>207096.74725231004</f>
        <v>207096.74725231004</v>
      </c>
      <c r="I22" s="5">
        <f>215021.97909105895</f>
        <v>215021.97909105895</v>
      </c>
      <c r="J22" s="5">
        <f>223105.7155665829</f>
        <v>223105.7155665829</v>
      </c>
      <c r="K22" s="5">
        <f>231351.1267716176</f>
        <v>231351.1267716176</v>
      </c>
      <c r="L22" s="5">
        <f>239761.44620075275</f>
        <v>239761.44620075275</v>
      </c>
    </row>
    <row r="23" spans="1:12" x14ac:dyDescent="0.25">
      <c r="A23" t="s">
        <v>212</v>
      </c>
      <c r="C23" s="5">
        <f>31780.460756174056</f>
        <v>31780.460756174056</v>
      </c>
      <c r="D23" s="5">
        <f>40591.11691697009</f>
        <v>40591.11691697009</v>
      </c>
      <c r="E23" s="5">
        <f>46060.32593017153</f>
        <v>46060.32593017153</v>
      </c>
      <c r="F23" s="5">
        <f>47927.356672200636</f>
        <v>47927.356672200636</v>
      </c>
      <c r="G23" s="5">
        <f>49831.72802907039</f>
        <v>49831.72802907039</v>
      </c>
      <c r="H23" s="5">
        <f>51774.18681307748</f>
        <v>51774.18681307748</v>
      </c>
      <c r="I23" s="5">
        <f>53755.49477276474</f>
        <v>53755.49477276474</v>
      </c>
      <c r="J23" s="5">
        <f>55776.428891645715</f>
        <v>55776.428891645715</v>
      </c>
      <c r="K23" s="5">
        <f>57837.78169290439</f>
        <v>57837.78169290439</v>
      </c>
      <c r="L23" s="5">
        <f>59940.36155018816</f>
        <v>59940.36155018816</v>
      </c>
    </row>
    <row r="25" spans="1:2" x14ac:dyDescent="0.25">
      <c r="A25" t="s">
        <v>213</v>
      </c>
      <c r="B25" s="5">
        <f>'P&amp;L'!L32</f>
        <v>581292.2553513669</v>
      </c>
    </row>
    <row r="26" spans="1:2" x14ac:dyDescent="0.25">
      <c r="A26" t="s">
        <v>214</v>
      </c>
      <c r="B26" s="5">
        <f>B25/cap</f>
        <v>8304175.076448099</v>
      </c>
    </row>
    <row r="27" spans="1:2" x14ac:dyDescent="0.25">
      <c r="A27" t="s">
        <v>27</v>
      </c>
      <c r="B27" s="5">
        <f>-B26*sell_pct</f>
        <v>-166083.501528962</v>
      </c>
    </row>
    <row r="28" spans="1:2" x14ac:dyDescent="0.25">
      <c r="A28" t="s">
        <v>215</v>
      </c>
      <c r="B28" s="5">
        <f>IF(B$3=0,0,B$3+CUMPRINC(rate/12,term*12,B$3,1,120,0))</f>
        <v>1314039.6384646187</v>
      </c>
    </row>
    <row r="29" spans="1:2" x14ac:dyDescent="0.25">
      <c r="A29" t="s">
        <v>216</v>
      </c>
      <c r="B29" s="5">
        <f>B26+B27-B28</f>
        <v>6824051.936454519</v>
      </c>
    </row>
    <row r="30" spans="1:2" x14ac:dyDescent="0.25">
      <c r="A30" t="s">
        <v>217</v>
      </c>
      <c r="B30" s="5">
        <f>MAX(0,B29-eq_total)</f>
        <v>3916997.1839034986</v>
      </c>
    </row>
    <row r="31" spans="1:2" x14ac:dyDescent="0.25">
      <c r="A31" t="s">
        <v>218</v>
      </c>
      <c r="B31" s="5">
        <f>4896300.099238163</f>
        <v>4896300.099238163</v>
      </c>
    </row>
    <row r="32" spans="1:2" x14ac:dyDescent="0.25">
      <c r="A32" t="s">
        <v>219</v>
      </c>
      <c r="B32" s="5">
        <f>1927751.8372163558</f>
        <v>1927751.8372163558</v>
      </c>
    </row>
    <row r="34" spans="1:12" x14ac:dyDescent="0.25">
      <c r="A34" t="s">
        <v>220</v>
      </c>
      <c r="B34" s="5">
        <f>-eq_lp</f>
        <v>-2325643.8020408163</v>
      </c>
      <c r="C34" s="5">
        <f>C22</f>
        <v>127121.84302469622</v>
      </c>
      <c r="D34" s="5">
        <f>D22</f>
        <v>162364.46766788047</v>
      </c>
      <c r="E34" s="5">
        <f>E22</f>
        <v>184241.30372068615</v>
      </c>
      <c r="F34" s="5">
        <f>F22</f>
        <v>191709.42668880257</v>
      </c>
      <c r="G34" s="5">
        <f>G22</f>
        <v>199326.91211628166</v>
      </c>
      <c r="H34" s="5">
        <f>H22</f>
        <v>207096.74725231004</v>
      </c>
      <c r="I34" s="5">
        <f>I22</f>
        <v>215021.97909105895</v>
      </c>
      <c r="J34" s="5">
        <f>J22</f>
        <v>223105.7155665829</v>
      </c>
      <c r="K34" s="5">
        <f>K22</f>
        <v>231351.1267716176</v>
      </c>
      <c r="L34" s="5">
        <f>L22+B31</f>
        <v>5136061.5454389155</v>
      </c>
    </row>
    <row r="36" spans="1:2" x14ac:dyDescent="0.25">
      <c r="A36" s="3" t="s">
        <v>31</v>
      </c>
      <c r="B36" s="6">
        <f>IRR(B34:L34)</f>
        <v>0.1379436712465961</v>
      </c>
    </row>
    <row r="37" spans="1:2" x14ac:dyDescent="0.25">
      <c r="A37" s="3" t="s">
        <v>221</v>
      </c>
      <c r="B37" s="5">
        <f>SUM(C22:L22)+B31</f>
        <v>6877401.067338832</v>
      </c>
    </row>
    <row r="38" spans="1:2" x14ac:dyDescent="0.25">
      <c r="A38" s="3" t="s">
        <v>222</v>
      </c>
      <c r="B38" s="7">
        <f>B37/eq_lp</f>
        <v>2.9572031027725414</v>
      </c>
    </row>
    <row r="39" spans="1:2" x14ac:dyDescent="0.25">
      <c r="A39" s="3" t="s">
        <v>223</v>
      </c>
      <c r="B39" s="6">
        <f>'P&amp;L'!E32/tpc</f>
        <v>0.08142019309338258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12" width="12" customWidth="1"/>
  </cols>
  <sheetData>
    <row r="1" spans="1:1" x14ac:dyDescent="0.25">
      <c r="A1" s="2" t="s">
        <v>224</v>
      </c>
    </row>
    <row r="3" spans="1:1" x14ac:dyDescent="0.25">
      <c r="A3" s="3" t="s">
        <v>225</v>
      </c>
    </row>
    <row r="4" spans="2:12" x14ac:dyDescent="0.25">
      <c r="B4" s="3" t="s">
        <v>226</v>
      </c>
      <c r="C4" s="3" t="s">
        <v>158</v>
      </c>
      <c r="D4" s="3" t="s">
        <v>159</v>
      </c>
      <c r="E4" s="3" t="s">
        <v>160</v>
      </c>
      <c r="F4" s="3" t="s">
        <v>161</v>
      </c>
      <c r="G4" s="3" t="s">
        <v>162</v>
      </c>
      <c r="H4" s="3" t="s">
        <v>163</v>
      </c>
      <c r="I4" s="3" t="s">
        <v>164</v>
      </c>
      <c r="J4" s="3" t="s">
        <v>165</v>
      </c>
      <c r="K4" s="3" t="s">
        <v>166</v>
      </c>
      <c r="L4" s="3" t="s">
        <v>167</v>
      </c>
    </row>
    <row r="5" spans="1:2" x14ac:dyDescent="0.25">
      <c r="A5" t="s">
        <v>227</v>
      </c>
      <c r="B5" s="5">
        <f>-IF(Assumptions!$B$47&gt;0,tpc,cost_base)</f>
        <v>-6223535.353535353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-128163</v>
      </c>
    </row>
    <row r="8" spans="1:2" x14ac:dyDescent="0.25">
      <c r="A8" t="s">
        <v>228</v>
      </c>
      <c r="B8" s="5">
        <f>Assumptions!$B$47*tpc</f>
        <v>0</v>
      </c>
    </row>
    <row r="9" spans="1:2" x14ac:dyDescent="0.25">
      <c r="A9" t="s">
        <v>229</v>
      </c>
      <c r="B9" s="5">
        <f>(-(B5+B8+B6)-B7)*(1-gp_pct)</f>
        <v>5081358.682828283</v>
      </c>
    </row>
    <row r="10" spans="1:2" x14ac:dyDescent="0.25">
      <c r="A10" t="s">
        <v>230</v>
      </c>
      <c r="B10" s="5">
        <f>(-(B5+B8+B6)-B7)*gp_pct</f>
        <v>1270339.6707070707</v>
      </c>
    </row>
    <row r="11" spans="1:2" x14ac:dyDescent="0.25">
      <c r="A11" s="3" t="s">
        <v>231</v>
      </c>
      <c r="B11" s="5">
        <f>SUM(B5:B10)</f>
        <v>0</v>
      </c>
    </row>
    <row r="13" spans="1:12" x14ac:dyDescent="0.25">
      <c r="A13" t="s">
        <v>196</v>
      </c>
      <c r="C13" s="5">
        <f>'P&amp;L'!C32</f>
        <v>440492.7513812963</v>
      </c>
      <c r="D13" s="5">
        <f>'P&amp;L'!D32</f>
        <v>484546.03218527656</v>
      </c>
      <c r="E13" s="5">
        <f>'P&amp;L'!E32</f>
        <v>511892.07725128374</v>
      </c>
      <c r="F13" s="5">
        <f>'P&amp;L'!F32</f>
        <v>521227.23096142925</v>
      </c>
      <c r="G13" s="5">
        <f>'P&amp;L'!G32</f>
        <v>530749.087745778</v>
      </c>
      <c r="H13" s="5">
        <f>'P&amp;L'!H32</f>
        <v>540461.3816658135</v>
      </c>
      <c r="I13" s="5">
        <f>'P&amp;L'!I32</f>
        <v>550367.9214642497</v>
      </c>
      <c r="J13" s="5">
        <f>'P&amp;L'!J32</f>
        <v>560472.5920586546</v>
      </c>
      <c r="K13" s="5">
        <f>'P&amp;L'!K32</f>
        <v>570779.356064948</v>
      </c>
      <c r="L13" s="5">
        <f>'P&amp;L'!L32</f>
        <v>581292.2553513669</v>
      </c>
    </row>
    <row r="14" spans="1:12" x14ac:dyDescent="0.25">
      <c r="A14" t="s">
        <v>201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  <c r="J14" s="5">
        <f>IF(B8=0,0,CUMIPMT(Assumptions!$B$48/12,Assumptions!$B$49*12,B8,85,96,0))</f>
        <v>0</v>
      </c>
      <c r="K14" s="5">
        <f>IF(B8=0,0,CUMIPMT(Assumptions!$B$48/12,Assumptions!$B$49*12,B8,97,108,0))</f>
        <v>0</v>
      </c>
      <c r="L14" s="5">
        <f>IF(B8=0,0,CUMIPMT(Assumptions!$B$48/12,Assumptions!$B$49*12,B8,109,120,0))</f>
        <v>0</v>
      </c>
    </row>
    <row r="15" spans="1:12" x14ac:dyDescent="0.25">
      <c r="A15" t="s">
        <v>202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  <c r="J15" s="5">
        <f>IF(B8=0,0,CUMPRINC(Assumptions!$B$48/12,Assumptions!$B$49*12,B8,85,96,0))</f>
        <v>0</v>
      </c>
      <c r="K15" s="5">
        <f>IF(B8=0,0,CUMPRINC(Assumptions!$B$48/12,Assumptions!$B$49*12,B8,97,108,0))</f>
        <v>0</v>
      </c>
      <c r="L15" s="5">
        <f>IF(B8=0,0,CUMPRINC(Assumptions!$B$48/12,Assumptions!$B$49*12,B8,109,120,0))</f>
        <v>0</v>
      </c>
    </row>
    <row r="16" spans="1:12" x14ac:dyDescent="0.25">
      <c r="A16" t="s">
        <v>232</v>
      </c>
      <c r="C16" s="5">
        <f>C13+C14+C15</f>
        <v>440492.7513812963</v>
      </c>
      <c r="D16" s="5">
        <f>D13+D14+D15</f>
        <v>484546.03218527656</v>
      </c>
      <c r="E16" s="5">
        <f>E13+E14+E15</f>
        <v>511892.07725128374</v>
      </c>
      <c r="F16" s="5">
        <f>F13+F14+F15</f>
        <v>521227.23096142925</v>
      </c>
      <c r="G16" s="5">
        <f>G13+G14+G15</f>
        <v>530749.087745778</v>
      </c>
      <c r="H16" s="5">
        <f>H13+H14+H15</f>
        <v>540461.3816658135</v>
      </c>
      <c r="I16" s="5">
        <f>I13+I14+I15</f>
        <v>550367.9214642497</v>
      </c>
      <c r="J16" s="5">
        <f>J13+J14+J15</f>
        <v>560472.5920586546</v>
      </c>
      <c r="K16" s="5">
        <f>K13+K14+K15</f>
        <v>570779.356064948</v>
      </c>
      <c r="L16" s="5">
        <f>L13+L14+L15</f>
        <v>581292.2553513669</v>
      </c>
    </row>
    <row r="17" spans="1:12" x14ac:dyDescent="0.25">
      <c r="A17" t="s">
        <v>233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  <c r="J17" s="5">
        <f>0</f>
        <v>0</v>
      </c>
      <c r="K17" s="5">
        <f>0</f>
        <v>0</v>
      </c>
      <c r="L17" s="5">
        <f>0</f>
        <v>0</v>
      </c>
    </row>
    <row r="18" spans="1:12" x14ac:dyDescent="0.25">
      <c r="A18" t="s">
        <v>234</v>
      </c>
      <c r="C18" s="5">
        <f>IF(1=MIN(MAX(1,ROUNDUP(vat_months/12,0)),10),-B7,0)</f>
        <v>128163</v>
      </c>
      <c r="D18" s="5">
        <f>IF(2=MIN(MAX(1,ROUNDUP(vat_months/12,0)),10),-B7,0)</f>
        <v>0</v>
      </c>
      <c r="E18" s="5">
        <f>IF(3=MIN(MAX(1,ROUNDUP(vat_months/12,0)),10),-B7,0)</f>
        <v>0</v>
      </c>
      <c r="F18" s="5">
        <f>IF(4=MIN(MAX(1,ROUNDUP(vat_months/12,0)),10),-B7,0)</f>
        <v>0</v>
      </c>
      <c r="G18" s="5">
        <f>IF(5=MIN(MAX(1,ROUNDUP(vat_months/12,0)),10),-B7,0)</f>
        <v>0</v>
      </c>
      <c r="H18" s="5">
        <f>IF(6=MIN(MAX(1,ROUNDUP(vat_months/12,0)),10),-B7,0)</f>
        <v>0</v>
      </c>
      <c r="I18" s="5">
        <f>IF(7=MIN(MAX(1,ROUNDUP(vat_months/12,0)),10),-B7,0)</f>
        <v>0</v>
      </c>
      <c r="J18" s="5">
        <f>IF(8=MIN(MAX(1,ROUNDUP(vat_months/12,0)),10),-B7,0)</f>
        <v>0</v>
      </c>
      <c r="K18" s="5">
        <f>IF(9=MIN(MAX(1,ROUNDUP(vat_months/12,0)),10),-B7,0)</f>
        <v>0</v>
      </c>
      <c r="L18" s="5">
        <f>IF(10=MIN(MAX(1,ROUNDUP(vat_months/12,0)),10),-B7,0)</f>
        <v>0</v>
      </c>
    </row>
    <row r="19" spans="1:12" x14ac:dyDescent="0.25">
      <c r="A19" t="s">
        <v>235</v>
      </c>
      <c r="C19" s="5">
        <f>C16+C17+C18</f>
        <v>568655.7513812963</v>
      </c>
      <c r="D19" s="5">
        <f>C19+D16+D17+D18</f>
        <v>1053201.783566573</v>
      </c>
      <c r="E19" s="5">
        <f>D19+E16+E17+E18</f>
        <v>1565093.8608178566</v>
      </c>
      <c r="F19" s="5">
        <f>E19+F16+F17+F18</f>
        <v>2086321.0917792858</v>
      </c>
      <c r="G19" s="5">
        <f>F19+G16+G17+G18</f>
        <v>2617070.179525064</v>
      </c>
      <c r="H19" s="5">
        <f>G19+H16+H17+H18</f>
        <v>3157531.561190877</v>
      </c>
      <c r="I19" s="5">
        <f>H19+I16+I17+I18</f>
        <v>3707899.4826551266</v>
      </c>
      <c r="J19" s="5">
        <f>I19+J16+J17+J18</f>
        <v>4268372.0747137815</v>
      </c>
      <c r="K19" s="5">
        <f>J19+K16+K17+K18</f>
        <v>4839151.43077873</v>
      </c>
      <c r="L19" s="5">
        <f>K19+L16+L17+L18</f>
        <v>5420443.686130097</v>
      </c>
    </row>
    <row r="20" spans="1:12" x14ac:dyDescent="0.25">
      <c r="A20" t="s">
        <v>236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  <c r="J20" s="7">
        <f>IF((J14+J15)=0,0,-J13/(J14+J15))</f>
        <v>0</v>
      </c>
      <c r="K20" s="7">
        <f>IF((K14+K15)=0,0,-K13/(K14+K15))</f>
        <v>0</v>
      </c>
      <c r="L20" s="7">
        <f>IF((L14+L15)=0,0,-L13/(L14+L15))</f>
        <v>0</v>
      </c>
    </row>
    <row r="22" spans="1:12" x14ac:dyDescent="0.25">
      <c r="A22" t="s">
        <v>26</v>
      </c>
      <c r="C22" s="5">
        <f>IF(1=10,'P&amp;L'!L32/cap,0)</f>
        <v>0</v>
      </c>
      <c r="D22" s="5">
        <f>IF(2=10,'P&amp;L'!L32/cap,0)</f>
        <v>0</v>
      </c>
      <c r="E22" s="5">
        <f>IF(3=10,'P&amp;L'!L32/cap,0)</f>
        <v>0</v>
      </c>
      <c r="F22" s="5">
        <f>IF(4=10,'P&amp;L'!L32/cap,0)</f>
        <v>0</v>
      </c>
      <c r="G22" s="5">
        <f>IF(5=10,'P&amp;L'!L32/cap,0)</f>
        <v>0</v>
      </c>
      <c r="H22" s="5">
        <f>IF(6=10,'P&amp;L'!L32/cap,0)</f>
        <v>0</v>
      </c>
      <c r="I22" s="5">
        <f>IF(7=10,'P&amp;L'!L32/cap,0)</f>
        <v>0</v>
      </c>
      <c r="J22" s="5">
        <f>IF(8=10,'P&amp;L'!L32/cap,0)</f>
        <v>0</v>
      </c>
      <c r="K22" s="5">
        <f>IF(9=10,'P&amp;L'!L32/cap,0)</f>
        <v>0</v>
      </c>
      <c r="L22" s="5">
        <f>IF(10=10,'P&amp;L'!L32/cap,0)</f>
        <v>8304175.0764481</v>
      </c>
    </row>
    <row r="23" spans="1:12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0</v>
      </c>
      <c r="J23" s="5">
        <f>-J22*sell_pct</f>
        <v>0</v>
      </c>
      <c r="K23" s="5">
        <f>-K22*sell_pct</f>
        <v>0</v>
      </c>
      <c r="L23" s="5">
        <f>-L22*sell_pct</f>
        <v>-166083.50152896252</v>
      </c>
    </row>
    <row r="24" spans="1:12" x14ac:dyDescent="0.25">
      <c r="A24" t="s">
        <v>28</v>
      </c>
      <c r="C24" s="5">
        <f>IF(1&lt;10,0,IF(B8=0,0,-(B8+CUMPRINC(Assumptions!$B$48/12,Assumptions!$B$49*12,B8,1,120,0))))</f>
        <v>0</v>
      </c>
      <c r="D24" s="5">
        <f>IF(2&lt;10,0,IF(B8=0,0,-(B8+CUMPRINC(Assumptions!$B$48/12,Assumptions!$B$49*12,B8,1,120,0))))</f>
        <v>0</v>
      </c>
      <c r="E24" s="5">
        <f>IF(3&lt;10,0,IF(B8=0,0,-(B8+CUMPRINC(Assumptions!$B$48/12,Assumptions!$B$49*12,B8,1,120,0))))</f>
        <v>0</v>
      </c>
      <c r="F24" s="5">
        <f>IF(4&lt;10,0,IF(B8=0,0,-(B8+CUMPRINC(Assumptions!$B$48/12,Assumptions!$B$49*12,B8,1,120,0))))</f>
        <v>0</v>
      </c>
      <c r="G24" s="5">
        <f>IF(5&lt;10,0,IF(B8=0,0,-(B8+CUMPRINC(Assumptions!$B$48/12,Assumptions!$B$49*12,B8,1,120,0))))</f>
        <v>0</v>
      </c>
      <c r="H24" s="5">
        <f>IF(6&lt;10,0,IF(B8=0,0,-(B8+CUMPRINC(Assumptions!$B$48/12,Assumptions!$B$49*12,B8,1,120,0))))</f>
        <v>0</v>
      </c>
      <c r="I24" s="5">
        <f>IF(7&lt;10,0,IF(B8=0,0,-(B8+CUMPRINC(Assumptions!$B$48/12,Assumptions!$B$49*12,B8,1,120,0))))</f>
        <v>0</v>
      </c>
      <c r="J24" s="5">
        <f>IF(8&lt;10,0,IF(B8=0,0,-(B8+CUMPRINC(Assumptions!$B$48/12,Assumptions!$B$49*12,B8,1,120,0))))</f>
        <v>0</v>
      </c>
      <c r="K24" s="5">
        <f>IF(9&lt;10,0,IF(B8=0,0,-(B8+CUMPRINC(Assumptions!$B$48/12,Assumptions!$B$49*12,B8,1,120,0))))</f>
        <v>0</v>
      </c>
      <c r="L24" s="5">
        <f>IF(10&lt;10,0,IF(B8=0,0,-(B8+CUMPRINC(Assumptions!$B$48/12,Assumptions!$B$49*12,B8,1,120,0))))</f>
        <v>0</v>
      </c>
    </row>
    <row r="25" spans="1:12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0</v>
      </c>
      <c r="J25" s="5">
        <f>J22+J23+J24</f>
        <v>0</v>
      </c>
      <c r="K25" s="5">
        <f>K22+K23+K24</f>
        <v>0</v>
      </c>
      <c r="L25" s="5">
        <f>L22+L23+L24</f>
        <v>8138091.574919137</v>
      </c>
    </row>
    <row r="27" spans="1:12" x14ac:dyDescent="0.25">
      <c r="A27" t="s">
        <v>211</v>
      </c>
      <c r="C27" s="5">
        <f>352394.20110503706</f>
        <v>352394.20110503706</v>
      </c>
      <c r="D27" s="5">
        <f>387636.82574822125</f>
        <v>387636.82574822125</v>
      </c>
      <c r="E27" s="5">
        <f>409513.661801027</f>
        <v>409513.661801027</v>
      </c>
      <c r="F27" s="5">
        <f>416981.78476914344</f>
        <v>416981.78476914344</v>
      </c>
      <c r="G27" s="5">
        <f>424599.27019662247</f>
        <v>424599.27019662247</v>
      </c>
      <c r="H27" s="5">
        <f>432369.1053326508</f>
        <v>432369.1053326508</v>
      </c>
      <c r="I27" s="5">
        <f>440294.3371713998</f>
        <v>440294.3371713998</v>
      </c>
      <c r="J27" s="5">
        <f>448378.07364692376</f>
        <v>448378.07364692376</v>
      </c>
      <c r="K27" s="5">
        <f>456623.48485195846</f>
        <v>456623.48485195846</v>
      </c>
      <c r="L27" s="5">
        <f>465033.8042810936</f>
        <v>465033.8042810936</v>
      </c>
    </row>
    <row r="28" spans="1:12" x14ac:dyDescent="0.25">
      <c r="A28" t="s">
        <v>212</v>
      </c>
      <c r="C28" s="5">
        <f>88098.55027625925</f>
        <v>88098.55027625925</v>
      </c>
      <c r="D28" s="5">
        <f>96909.20643705531</f>
        <v>96909.20643705531</v>
      </c>
      <c r="E28" s="5">
        <f>102378.41545025673</f>
        <v>102378.41545025673</v>
      </c>
      <c r="F28" s="5">
        <f>104245.4461922858</f>
        <v>104245.4461922858</v>
      </c>
      <c r="G28" s="5">
        <f>106149.81754915556</f>
        <v>106149.81754915556</v>
      </c>
      <c r="H28" s="5">
        <f>108092.27633316268</f>
        <v>108092.27633316268</v>
      </c>
      <c r="I28" s="5">
        <f>110073.58429284993</f>
        <v>110073.58429284993</v>
      </c>
      <c r="J28" s="5">
        <f>112094.51841173088</f>
        <v>112094.51841173088</v>
      </c>
      <c r="K28" s="5">
        <f>114155.87121298956</f>
        <v>114155.87121298956</v>
      </c>
      <c r="L28" s="5">
        <f>116258.45107027335</f>
        <v>116258.45107027335</v>
      </c>
    </row>
    <row r="29" spans="1:12" x14ac:dyDescent="0.25">
      <c r="A29" t="s">
        <v>237</v>
      </c>
      <c r="C29" s="5">
        <f>IF(1=10,6286105.34131243,0)</f>
        <v>0</v>
      </c>
      <c r="D29" s="5">
        <f>IF(2=10,6286105.34131243,0)</f>
        <v>0</v>
      </c>
      <c r="E29" s="5">
        <f>IF(3=10,6286105.34131243,0)</f>
        <v>0</v>
      </c>
      <c r="F29" s="5">
        <f>IF(4=10,6286105.34131243,0)</f>
        <v>0</v>
      </c>
      <c r="G29" s="5">
        <f>IF(5=10,6286105.34131243,0)</f>
        <v>0</v>
      </c>
      <c r="H29" s="5">
        <f>IF(6=10,6286105.34131243,0)</f>
        <v>0</v>
      </c>
      <c r="I29" s="5">
        <f>IF(7=10,6286105.34131243,0)</f>
        <v>0</v>
      </c>
      <c r="J29" s="5">
        <f>IF(8=10,6286105.34131243,0)</f>
        <v>0</v>
      </c>
      <c r="K29" s="5">
        <f>IF(9=10,6286105.34131243,0)</f>
        <v>0</v>
      </c>
      <c r="L29" s="5">
        <f>IF(10=10,6286105.34131243,0)</f>
        <v>6286105.34131243</v>
      </c>
    </row>
    <row r="30" spans="1:12" x14ac:dyDescent="0.25">
      <c r="A30" t="s">
        <v>238</v>
      </c>
      <c r="C30" s="5">
        <f>IF(1=10,1851986.2336067073,0)</f>
        <v>0</v>
      </c>
      <c r="D30" s="5">
        <f>IF(2=10,1851986.2336067073,0)</f>
        <v>0</v>
      </c>
      <c r="E30" s="5">
        <f>IF(3=10,1851986.2336067073,0)</f>
        <v>0</v>
      </c>
      <c r="F30" s="5">
        <f>IF(4=10,1851986.2336067073,0)</f>
        <v>0</v>
      </c>
      <c r="G30" s="5">
        <f>IF(5=10,1851986.2336067073,0)</f>
        <v>0</v>
      </c>
      <c r="H30" s="5">
        <f>IF(6=10,1851986.2336067073,0)</f>
        <v>0</v>
      </c>
      <c r="I30" s="5">
        <f>IF(7=10,1851986.2336067073,0)</f>
        <v>0</v>
      </c>
      <c r="J30" s="5">
        <f>IF(8=10,1851986.2336067073,0)</f>
        <v>0</v>
      </c>
      <c r="K30" s="5">
        <f>IF(9=10,1851986.2336067073,0)</f>
        <v>0</v>
      </c>
      <c r="L30" s="5">
        <f>IF(10=10,1851986.2336067073,0)</f>
        <v>1851986.2336067073</v>
      </c>
    </row>
    <row r="31" spans="1:12" x14ac:dyDescent="0.25">
      <c r="A31" t="s">
        <v>239</v>
      </c>
      <c r="C31" s="5">
        <f>(C17+C18)*(1-gp_pct)</f>
        <v>102530.40000000001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  <c r="J31" s="5">
        <f>(J17+J18)*(1-gp_pct)</f>
        <v>0</v>
      </c>
      <c r="K31" s="5">
        <f>(K17+K18)*(1-gp_pct)</f>
        <v>0</v>
      </c>
      <c r="L31" s="5">
        <f>(L17+L18)*(1-gp_pct)</f>
        <v>0</v>
      </c>
    </row>
    <row r="32" spans="1:12" x14ac:dyDescent="0.25">
      <c r="A32" t="s">
        <v>240</v>
      </c>
      <c r="C32" s="5">
        <f>(C17+C18)*gp_pct</f>
        <v>25632.599999999995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  <c r="J32" s="5">
        <f>(J17+J18)*gp_pct</f>
        <v>0</v>
      </c>
      <c r="K32" s="5">
        <f>(K17+K18)*gp_pct</f>
        <v>0</v>
      </c>
      <c r="L32" s="5">
        <f>(L17+L18)*gp_pct</f>
        <v>0</v>
      </c>
    </row>
    <row r="33" spans="1:12" x14ac:dyDescent="0.25">
      <c r="A33" s="3" t="s">
        <v>241</v>
      </c>
      <c r="C33" s="5">
        <f>SUM(C27:C32)</f>
        <v>568655.7513812963</v>
      </c>
      <c r="D33" s="5">
        <f>SUM(D27:D32)</f>
        <v>484546.03218527656</v>
      </c>
      <c r="E33" s="5">
        <f>SUM(E27:E32)</f>
        <v>511892.07725128374</v>
      </c>
      <c r="F33" s="5">
        <f>SUM(F27:F32)</f>
        <v>521227.23096142925</v>
      </c>
      <c r="G33" s="5">
        <f>SUM(G27:G32)</f>
        <v>530749.087745778</v>
      </c>
      <c r="H33" s="5">
        <f>SUM(H27:H32)</f>
        <v>540461.3816658135</v>
      </c>
      <c r="I33" s="5">
        <f>SUM(I27:I32)</f>
        <v>550367.9214642497</v>
      </c>
      <c r="J33" s="5">
        <f>SUM(J27:J32)</f>
        <v>560472.5920586546</v>
      </c>
      <c r="K33" s="5">
        <f>SUM(K27:K32)</f>
        <v>570779.356064948</v>
      </c>
      <c r="L33" s="5">
        <f>SUM(L27:L32)</f>
        <v>8719383.830270505</v>
      </c>
    </row>
    <row r="35" spans="1:12" x14ac:dyDescent="0.25">
      <c r="A35" t="s">
        <v>242</v>
      </c>
      <c r="C35" s="5">
        <f>C16+C17+C18+C25</f>
        <v>568655.7513812963</v>
      </c>
      <c r="D35" s="5">
        <f>D16+D17+D18+D25</f>
        <v>484546.03218527656</v>
      </c>
      <c r="E35" s="5">
        <f>E16+E17+E18+E25</f>
        <v>511892.07725128374</v>
      </c>
      <c r="F35" s="5">
        <f>F16+F17+F18+F25</f>
        <v>521227.23096142925</v>
      </c>
      <c r="G35" s="5">
        <f>G16+G17+G18+G25</f>
        <v>530749.087745778</v>
      </c>
      <c r="H35" s="5">
        <f>H16+H17+H18+H25</f>
        <v>540461.3816658135</v>
      </c>
      <c r="I35" s="5">
        <f>I16+I17+I18+I25</f>
        <v>550367.9214642497</v>
      </c>
      <c r="J35" s="5">
        <f>J16+J17+J18+J25</f>
        <v>560472.5920586546</v>
      </c>
      <c r="K35" s="5">
        <f>K16+K17+K18+K25</f>
        <v>570779.356064948</v>
      </c>
      <c r="L35" s="5">
        <f>L16+L17+L18+L25</f>
        <v>8719383.830270505</v>
      </c>
    </row>
    <row r="36" spans="1:12" x14ac:dyDescent="0.25">
      <c r="A36" t="s">
        <v>243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  <c r="J36" s="5">
        <f>J35-J33</f>
        <v>0</v>
      </c>
      <c r="K36" s="5">
        <f>K35-K33</f>
        <v>0</v>
      </c>
      <c r="L36" s="5">
        <f>L35-L33</f>
        <v>0</v>
      </c>
    </row>
    <row r="38" spans="1:12" x14ac:dyDescent="0.25">
      <c r="A38" t="s">
        <v>244</v>
      </c>
      <c r="B38" s="5">
        <f>-B9</f>
        <v>-5081358.682828283</v>
      </c>
      <c r="C38" s="5">
        <f>C27+C29+C31</f>
        <v>454924.6011050371</v>
      </c>
      <c r="D38" s="5">
        <f>D27+D29+D31</f>
        <v>387636.82574822125</v>
      </c>
      <c r="E38" s="5">
        <f>E27+E29+E31</f>
        <v>409513.661801027</v>
      </c>
      <c r="F38" s="5">
        <f>F27+F29+F31</f>
        <v>416981.78476914344</v>
      </c>
      <c r="G38" s="5">
        <f>G27+G29+G31</f>
        <v>424599.27019662247</v>
      </c>
      <c r="H38" s="5">
        <f>H27+H29+H31</f>
        <v>432369.1053326508</v>
      </c>
      <c r="I38" s="5">
        <f>I27+I29+I31</f>
        <v>440294.3371713998</v>
      </c>
      <c r="J38" s="5">
        <f>J27+J29+J31</f>
        <v>448378.07364692376</v>
      </c>
      <c r="K38" s="5">
        <f>K27+K29+K31</f>
        <v>456623.48485195846</v>
      </c>
      <c r="L38" s="5">
        <f>L27+L29+L31</f>
        <v>6751139.145593523</v>
      </c>
    </row>
    <row r="39" spans="1:12" x14ac:dyDescent="0.25">
      <c r="A39" t="s">
        <v>245</v>
      </c>
      <c r="B39" s="5">
        <f>B38</f>
        <v>-5081358.682828283</v>
      </c>
      <c r="C39" s="5">
        <f>B39+C38</f>
        <v>-4626434.081723246</v>
      </c>
      <c r="D39" s="5">
        <f>C39+D38</f>
        <v>-4238797.255975025</v>
      </c>
      <c r="E39" s="5">
        <f>D39+E38</f>
        <v>-3829283.5941739976</v>
      </c>
      <c r="F39" s="5">
        <f>E39+F38</f>
        <v>-3412301.809404854</v>
      </c>
      <c r="G39" s="5">
        <f>F39+G38</f>
        <v>-2987702.5392082315</v>
      </c>
      <c r="H39" s="5">
        <f>G39+H38</f>
        <v>-2555333.433875581</v>
      </c>
      <c r="I39" s="5">
        <f>H39+I38</f>
        <v>-2115039.096704181</v>
      </c>
      <c r="J39" s="5">
        <f>I39+J38</f>
        <v>-1666661.023057257</v>
      </c>
      <c r="K39" s="5">
        <f>J39+K38</f>
        <v>-1210037.5382052986</v>
      </c>
      <c r="L39" s="5">
        <f>K39+L38</f>
        <v>5541101.607388224</v>
      </c>
    </row>
    <row r="42" spans="1:1" x14ac:dyDescent="0.25">
      <c r="A42" s="3" t="s">
        <v>246</v>
      </c>
    </row>
    <row r="43" spans="2:12" x14ac:dyDescent="0.25">
      <c r="B43" s="3" t="s">
        <v>226</v>
      </c>
      <c r="C43" s="3" t="s">
        <v>158</v>
      </c>
      <c r="D43" s="3" t="s">
        <v>159</v>
      </c>
      <c r="E43" s="3" t="s">
        <v>160</v>
      </c>
      <c r="F43" s="3" t="s">
        <v>161</v>
      </c>
      <c r="G43" s="3" t="s">
        <v>162</v>
      </c>
      <c r="H43" s="3" t="s">
        <v>163</v>
      </c>
      <c r="I43" s="3" t="s">
        <v>164</v>
      </c>
      <c r="J43" s="3" t="s">
        <v>165</v>
      </c>
      <c r="K43" s="3" t="s">
        <v>166</v>
      </c>
      <c r="L43" s="3" t="s">
        <v>167</v>
      </c>
    </row>
    <row r="44" spans="1:2" x14ac:dyDescent="0.25">
      <c r="A44" t="s">
        <v>227</v>
      </c>
      <c r="B44" s="5">
        <f>-IF(Assumptions!$C$47&gt;0,tpc,cost_base)</f>
        <v>-6287040.816326531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-77886.38520408163</v>
      </c>
    </row>
    <row r="46" spans="1:2" x14ac:dyDescent="0.25">
      <c r="A46" t="s">
        <v>17</v>
      </c>
      <c r="B46" s="5">
        <f>-vat_float</f>
        <v>-128163</v>
      </c>
    </row>
    <row r="47" spans="1:2" x14ac:dyDescent="0.25">
      <c r="A47" t="s">
        <v>228</v>
      </c>
      <c r="B47" s="5">
        <f>Assumptions!$C$47*tpc</f>
        <v>3457872.448979592</v>
      </c>
    </row>
    <row r="48" spans="1:2" x14ac:dyDescent="0.25">
      <c r="A48" t="s">
        <v>229</v>
      </c>
      <c r="B48" s="5">
        <f>(-(B44+B47+B45)-B46)*(1-gp_pct)</f>
        <v>2428174.202040816</v>
      </c>
    </row>
    <row r="49" spans="1:2" x14ac:dyDescent="0.25">
      <c r="A49" t="s">
        <v>230</v>
      </c>
      <c r="B49" s="5">
        <f>(-(B44+B47+B45)-B46)*gp_pct</f>
        <v>607043.550510204</v>
      </c>
    </row>
    <row r="50" spans="1:2" x14ac:dyDescent="0.25">
      <c r="A50" s="3" t="s">
        <v>231</v>
      </c>
      <c r="B50" s="5">
        <f>SUM(B44:B49)</f>
        <v>0</v>
      </c>
    </row>
    <row r="52" spans="1:12" x14ac:dyDescent="0.25">
      <c r="A52" t="s">
        <v>196</v>
      </c>
      <c r="C52" s="5">
        <f>'P&amp;L'!C32</f>
        <v>440492.7513812963</v>
      </c>
      <c r="D52" s="5">
        <f>'P&amp;L'!D32</f>
        <v>484546.03218527656</v>
      </c>
      <c r="E52" s="5">
        <f>'P&amp;L'!E32</f>
        <v>511892.07725128374</v>
      </c>
      <c r="F52" s="5">
        <f>'P&amp;L'!F32</f>
        <v>521227.23096142925</v>
      </c>
      <c r="G52" s="5">
        <f>'P&amp;L'!G32</f>
        <v>530749.087745778</v>
      </c>
      <c r="H52" s="5">
        <f>'P&amp;L'!H32</f>
        <v>540461.3816658135</v>
      </c>
      <c r="I52" s="5">
        <f>'P&amp;L'!I32</f>
        <v>550367.9214642497</v>
      </c>
      <c r="J52" s="5">
        <f>'P&amp;L'!J32</f>
        <v>560472.5920586546</v>
      </c>
      <c r="K52" s="5">
        <f>'P&amp;L'!K32</f>
        <v>570779.356064948</v>
      </c>
      <c r="L52" s="5">
        <f>'P&amp;L'!L32</f>
        <v>581292.2553513669</v>
      </c>
    </row>
    <row r="53" spans="1:12" x14ac:dyDescent="0.25">
      <c r="A53" t="s">
        <v>201</v>
      </c>
      <c r="C53" s="5">
        <f>IF(B47=0,0,CUMIPMT(Assumptions!$C$48/12,Assumptions!$C$49*12,B47,1,12,0))</f>
        <v>-92722.77904290345</v>
      </c>
      <c r="D53" s="5">
        <f>IF(B47=0,0,CUMIPMT(Assumptions!$C$48/12,Assumptions!$C$49*12,B47,13,24,0))</f>
        <v>-87462.95120691671</v>
      </c>
      <c r="E53" s="5">
        <f>IF(B47=0,0,CUMIPMT(Assumptions!$C$48/12,Assumptions!$C$49*12,B47,25,36,0))</f>
        <v>-82056.64097362226</v>
      </c>
      <c r="F53" s="5">
        <f>IF(B47=0,0,CUMIPMT(Assumptions!$C$48/12,Assumptions!$C$49*12,B47,37,48,0))</f>
        <v>-76499.76891430304</v>
      </c>
      <c r="G53" s="5">
        <f>IF(B47=0,0,CUMIPMT(Assumptions!$C$48/12,Assumptions!$C$49*12,B47,49,60,0))</f>
        <v>-70788.14199110551</v>
      </c>
      <c r="H53" s="5">
        <f>IF(B47=0,0,CUMIPMT(Assumptions!$C$48/12,Assumptions!$C$49*12,B47,61,72,0))</f>
        <v>-64917.45039310768</v>
      </c>
      <c r="I53" s="5">
        <f>IF(B47=0,0,CUMIPMT(Assumptions!$C$48/12,Assumptions!$C$49*12,B47,73,84,0))</f>
        <v>-58883.26428427333</v>
      </c>
      <c r="J53" s="5">
        <f>IF(B47=0,0,CUMIPMT(Assumptions!$C$48/12,Assumptions!$C$49*12,B47,85,96,0))</f>
        <v>-52681.03046083979</v>
      </c>
      <c r="K53" s="5">
        <f>IF(B47=0,0,CUMIPMT(Assumptions!$C$48/12,Assumptions!$C$49*12,B47,97,108,0))</f>
        <v>-46306.06891561588</v>
      </c>
      <c r="L53" s="5">
        <f>IF(B47=0,0,CUMIPMT(Assumptions!$C$48/12,Assumptions!$C$49*12,B47,109,120,0))</f>
        <v>-39753.569306598394</v>
      </c>
    </row>
    <row r="54" spans="1:12" x14ac:dyDescent="0.25">
      <c r="A54" t="s">
        <v>202</v>
      </c>
      <c r="C54" s="5">
        <f>IF(B47=0,0,CUMPRINC(Assumptions!$C$48/12,Assumptions!$C$49*12,B47,1,12,0))</f>
        <v>-188867.6685575226</v>
      </c>
      <c r="D54" s="5">
        <f>IF(B47=0,0,CUMPRINC(Assumptions!$C$48/12,Assumptions!$C$49*12,B47,13,24,0))</f>
        <v>-194127.4963935093</v>
      </c>
      <c r="E54" s="5">
        <f>IF(B47=0,0,CUMPRINC(Assumptions!$C$48/12,Assumptions!$C$49*12,B47,25,36,0))</f>
        <v>-199533.8066268038</v>
      </c>
      <c r="F54" s="5">
        <f>IF(B47=0,0,CUMPRINC(Assumptions!$C$48/12,Assumptions!$C$49*12,B47,37,48,0))</f>
        <v>-205090.678686123</v>
      </c>
      <c r="G54" s="5">
        <f>IF(B47=0,0,CUMPRINC(Assumptions!$C$48/12,Assumptions!$C$49*12,B47,49,60,0))</f>
        <v>-210802.30560932047</v>
      </c>
      <c r="H54" s="5">
        <f>IF(B47=0,0,CUMPRINC(Assumptions!$C$48/12,Assumptions!$C$49*12,B47,61,72,0))</f>
        <v>-216672.99720731832</v>
      </c>
      <c r="I54" s="5">
        <f>IF(B47=0,0,CUMPRINC(Assumptions!$C$48/12,Assumptions!$C$49*12,B47,73,84,0))</f>
        <v>-222707.18331615272</v>
      </c>
      <c r="J54" s="5">
        <f>IF(B47=0,0,CUMPRINC(Assumptions!$C$48/12,Assumptions!$C$49*12,B47,85,96,0))</f>
        <v>-228909.4171395862</v>
      </c>
      <c r="K54" s="5">
        <f>IF(B47=0,0,CUMPRINC(Assumptions!$C$48/12,Assumptions!$C$49*12,B47,97,108,0))</f>
        <v>-235284.37868481013</v>
      </c>
      <c r="L54" s="5">
        <f>IF(B47=0,0,CUMPRINC(Assumptions!$C$48/12,Assumptions!$C$49*12,B47,109,120,0))</f>
        <v>-241836.87829382764</v>
      </c>
    </row>
    <row r="55" spans="1:12" x14ac:dyDescent="0.25">
      <c r="A55" t="s">
        <v>232</v>
      </c>
      <c r="C55" s="5">
        <f>C52+C53+C54</f>
        <v>158902.30378087028</v>
      </c>
      <c r="D55" s="5">
        <f>D52+D53+D54</f>
        <v>202955.58458485056</v>
      </c>
      <c r="E55" s="5">
        <f>E52+E53+E54</f>
        <v>230301.62965085768</v>
      </c>
      <c r="F55" s="5">
        <f>F52+F53+F54</f>
        <v>239636.7833610032</v>
      </c>
      <c r="G55" s="5">
        <f>G52+G53+G54</f>
        <v>249158.64014535205</v>
      </c>
      <c r="H55" s="5">
        <f>H52+H53+H54</f>
        <v>258870.93406538753</v>
      </c>
      <c r="I55" s="5">
        <f>I52+I53+I54</f>
        <v>268777.4738638237</v>
      </c>
      <c r="J55" s="5">
        <f>J52+J53+J54</f>
        <v>278882.1444582286</v>
      </c>
      <c r="K55" s="5">
        <f>K52+K53+K54</f>
        <v>289188.908464522</v>
      </c>
      <c r="L55" s="5">
        <f>L52+L53+L54</f>
        <v>299701.8077509409</v>
      </c>
    </row>
    <row r="56" spans="1:12" x14ac:dyDescent="0.25">
      <c r="A56" t="s">
        <v>233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  <c r="J56" s="5">
        <f>0</f>
        <v>0</v>
      </c>
      <c r="K56" s="5">
        <f>0</f>
        <v>0</v>
      </c>
      <c r="L56" s="5">
        <f>0</f>
        <v>0</v>
      </c>
    </row>
    <row r="57" spans="1:12" x14ac:dyDescent="0.25">
      <c r="A57" t="s">
        <v>234</v>
      </c>
      <c r="C57" s="5">
        <f>IF(1=MIN(MAX(1,ROUNDUP(vat_months/12,0)),10),-B46,0)</f>
        <v>128163</v>
      </c>
      <c r="D57" s="5">
        <f>IF(2=MIN(MAX(1,ROUNDUP(vat_months/12,0)),10),-B46,0)</f>
        <v>0</v>
      </c>
      <c r="E57" s="5">
        <f>IF(3=MIN(MAX(1,ROUNDUP(vat_months/12,0)),10),-B46,0)</f>
        <v>0</v>
      </c>
      <c r="F57" s="5">
        <f>IF(4=MIN(MAX(1,ROUNDUP(vat_months/12,0)),10),-B46,0)</f>
        <v>0</v>
      </c>
      <c r="G57" s="5">
        <f>IF(5=MIN(MAX(1,ROUNDUP(vat_months/12,0)),10),-B46,0)</f>
        <v>0</v>
      </c>
      <c r="H57" s="5">
        <f>IF(6=MIN(MAX(1,ROUNDUP(vat_months/12,0)),10),-B46,0)</f>
        <v>0</v>
      </c>
      <c r="I57" s="5">
        <f>IF(7=MIN(MAX(1,ROUNDUP(vat_months/12,0)),10),-B46,0)</f>
        <v>0</v>
      </c>
      <c r="J57" s="5">
        <f>IF(8=MIN(MAX(1,ROUNDUP(vat_months/12,0)),10),-B46,0)</f>
        <v>0</v>
      </c>
      <c r="K57" s="5">
        <f>IF(9=MIN(MAX(1,ROUNDUP(vat_months/12,0)),10),-B46,0)</f>
        <v>0</v>
      </c>
      <c r="L57" s="5">
        <f>IF(10=MIN(MAX(1,ROUNDUP(vat_months/12,0)),10),-B46,0)</f>
        <v>0</v>
      </c>
    </row>
    <row r="58" spans="1:12" x14ac:dyDescent="0.25">
      <c r="A58" t="s">
        <v>235</v>
      </c>
      <c r="C58" s="5">
        <f>C55+C56+C57</f>
        <v>287065.3037808703</v>
      </c>
      <c r="D58" s="5">
        <f>C58+D55+D56+D57</f>
        <v>490020.88836572086</v>
      </c>
      <c r="E58" s="5">
        <f>D58+E55+E56+E57</f>
        <v>720322.5180165785</v>
      </c>
      <c r="F58" s="5">
        <f>E58+F55+F56+F57</f>
        <v>959959.3013775817</v>
      </c>
      <c r="G58" s="5">
        <f>F58+G55+G56+G57</f>
        <v>1209117.9415229338</v>
      </c>
      <c r="H58" s="5">
        <f>G58+H55+H56+H57</f>
        <v>1467988.8755883214</v>
      </c>
      <c r="I58" s="5">
        <f>H58+I55+I56+I57</f>
        <v>1736766.349452145</v>
      </c>
      <c r="J58" s="5">
        <f>I58+J55+J56+J57</f>
        <v>2015648.4939103737</v>
      </c>
      <c r="K58" s="5">
        <f>J58+K55+K56+K57</f>
        <v>2304837.4023748958</v>
      </c>
      <c r="L58" s="5">
        <f>K58+L55+L56+L57</f>
        <v>2604539.2101258365</v>
      </c>
    </row>
    <row r="59" spans="1:12" x14ac:dyDescent="0.25">
      <c r="A59" t="s">
        <v>236</v>
      </c>
      <c r="C59" s="7">
        <f>IF((C53+C54)=0,0,-C52/(C53+C54))</f>
        <v>1.564302891433132</v>
      </c>
      <c r="D59" s="7">
        <f>IF((D53+D54)=0,0,-D52/(D53+D54))</f>
        <v>1.7207474057246517</v>
      </c>
      <c r="E59" s="7">
        <f>IF((E53+E54)=0,0,-E52/(E53+E54))</f>
        <v>1.8178602350092974</v>
      </c>
      <c r="F59" s="7">
        <f>IF((F53+F54)=0,0,-F52/(F53+F54))</f>
        <v>1.851011763371481</v>
      </c>
      <c r="G59" s="7">
        <f>IF((G53+G54)=0,0,-G52/(G53+G54))</f>
        <v>1.88482632230091</v>
      </c>
      <c r="H59" s="7">
        <f>IF((H53+H54)=0,0,-H52/(H53+H54))</f>
        <v>1.9193171724089262</v>
      </c>
      <c r="I59" s="7">
        <f>IF((I53+I54)=0,0,-I52/(I53+I54))</f>
        <v>1.9544978395191024</v>
      </c>
      <c r="J59" s="7">
        <f>IF((J53+J54)=0,0,-J52/(J53+J54))</f>
        <v>1.9903821199714828</v>
      </c>
      <c r="K59" s="7">
        <f>IF((K53+K54)=0,0,-K52/(K53+K54))</f>
        <v>2.0269840860329116</v>
      </c>
      <c r="L59" s="7">
        <f>IF((L53+L54)=0,0,-L52/(L53+L54))</f>
        <v>2.0643180914155677</v>
      </c>
    </row>
    <row r="61" spans="1:12" x14ac:dyDescent="0.25">
      <c r="A61" t="s">
        <v>26</v>
      </c>
      <c r="C61" s="5">
        <f>IF(1=10,'P&amp;L'!L32/cap,0)</f>
        <v>0</v>
      </c>
      <c r="D61" s="5">
        <f>IF(2=10,'P&amp;L'!L32/cap,0)</f>
        <v>0</v>
      </c>
      <c r="E61" s="5">
        <f>IF(3=10,'P&amp;L'!L32/cap,0)</f>
        <v>0</v>
      </c>
      <c r="F61" s="5">
        <f>IF(4=10,'P&amp;L'!L32/cap,0)</f>
        <v>0</v>
      </c>
      <c r="G61" s="5">
        <f>IF(5=10,'P&amp;L'!L32/cap,0)</f>
        <v>0</v>
      </c>
      <c r="H61" s="5">
        <f>IF(6=10,'P&amp;L'!L32/cap,0)</f>
        <v>0</v>
      </c>
      <c r="I61" s="5">
        <f>IF(7=10,'P&amp;L'!L32/cap,0)</f>
        <v>0</v>
      </c>
      <c r="J61" s="5">
        <f>IF(8=10,'P&amp;L'!L32/cap,0)</f>
        <v>0</v>
      </c>
      <c r="K61" s="5">
        <f>IF(9=10,'P&amp;L'!L32/cap,0)</f>
        <v>0</v>
      </c>
      <c r="L61" s="5">
        <f>IF(10=10,'P&amp;L'!L32/cap,0)</f>
        <v>8304175.0764481</v>
      </c>
    </row>
    <row r="62" spans="1:12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0</v>
      </c>
      <c r="J62" s="5">
        <f>-J61*sell_pct</f>
        <v>0</v>
      </c>
      <c r="K62" s="5">
        <f>-K61*sell_pct</f>
        <v>0</v>
      </c>
      <c r="L62" s="5">
        <f>-L61*sell_pct</f>
        <v>-166083.50152896252</v>
      </c>
    </row>
    <row r="63" spans="1:12" x14ac:dyDescent="0.25">
      <c r="A63" t="s">
        <v>28</v>
      </c>
      <c r="C63" s="5">
        <f>IF(1&lt;10,0,IF(B47=0,0,-(B47+CUMPRINC(Assumptions!$C$48/12,Assumptions!$C$49*12,B47,1,120,0))))</f>
        <v>0</v>
      </c>
      <c r="D63" s="5">
        <f>IF(2&lt;10,0,IF(B47=0,0,-(B47+CUMPRINC(Assumptions!$C$48/12,Assumptions!$C$49*12,B47,1,120,0))))</f>
        <v>0</v>
      </c>
      <c r="E63" s="5">
        <f>IF(3&lt;10,0,IF(B47=0,0,-(B47+CUMPRINC(Assumptions!$C$48/12,Assumptions!$C$49*12,B47,1,120,0))))</f>
        <v>0</v>
      </c>
      <c r="F63" s="5">
        <f>IF(4&lt;10,0,IF(B47=0,0,-(B47+CUMPRINC(Assumptions!$C$48/12,Assumptions!$C$49*12,B47,1,120,0))))</f>
        <v>0</v>
      </c>
      <c r="G63" s="5">
        <f>IF(5&lt;10,0,IF(B47=0,0,-(B47+CUMPRINC(Assumptions!$C$48/12,Assumptions!$C$49*12,B47,1,120,0))))</f>
        <v>0</v>
      </c>
      <c r="H63" s="5">
        <f>IF(6&lt;10,0,IF(B47=0,0,-(B47+CUMPRINC(Assumptions!$C$48/12,Assumptions!$C$49*12,B47,1,120,0))))</f>
        <v>0</v>
      </c>
      <c r="I63" s="5">
        <f>IF(7&lt;10,0,IF(B47=0,0,-(B47+CUMPRINC(Assumptions!$C$48/12,Assumptions!$C$49*12,B47,1,120,0))))</f>
        <v>0</v>
      </c>
      <c r="J63" s="5">
        <f>IF(8&lt;10,0,IF(B47=0,0,-(B47+CUMPRINC(Assumptions!$C$48/12,Assumptions!$C$49*12,B47,1,120,0))))</f>
        <v>0</v>
      </c>
      <c r="K63" s="5">
        <f>IF(9&lt;10,0,IF(B47=0,0,-(B47+CUMPRINC(Assumptions!$C$48/12,Assumptions!$C$49*12,B47,1,120,0))))</f>
        <v>0</v>
      </c>
      <c r="L63" s="5">
        <f>IF(10&lt;10,0,IF(B47=0,0,-(B47+CUMPRINC(Assumptions!$C$48/12,Assumptions!$C$49*12,B47,1,120,0))))</f>
        <v>-1314039.6384646187</v>
      </c>
    </row>
    <row r="64" spans="1:12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0</v>
      </c>
      <c r="J64" s="5">
        <f>J61+J62+J63</f>
        <v>0</v>
      </c>
      <c r="K64" s="5">
        <f>K61+K62+K63</f>
        <v>0</v>
      </c>
      <c r="L64" s="5">
        <f>L61+L62+L63</f>
        <v>6824051.936454519</v>
      </c>
    </row>
    <row r="66" spans="1:12" x14ac:dyDescent="0.25">
      <c r="A66" t="s">
        <v>211</v>
      </c>
      <c r="C66" s="5">
        <f>127121.84302469622</f>
        <v>127121.84302469622</v>
      </c>
      <c r="D66" s="5">
        <f>162364.46766788047</f>
        <v>162364.46766788047</v>
      </c>
      <c r="E66" s="5">
        <f>184241.30372068615</f>
        <v>184241.30372068615</v>
      </c>
      <c r="F66" s="5">
        <f>191709.42668880257</f>
        <v>191709.42668880257</v>
      </c>
      <c r="G66" s="5">
        <f>199326.91211628166</f>
        <v>199326.91211628166</v>
      </c>
      <c r="H66" s="5">
        <f>207096.74725231004</f>
        <v>207096.74725231004</v>
      </c>
      <c r="I66" s="5">
        <f>215021.97909105895</f>
        <v>215021.97909105895</v>
      </c>
      <c r="J66" s="5">
        <f>223105.7155665829</f>
        <v>223105.7155665829</v>
      </c>
      <c r="K66" s="5">
        <f>231351.1267716176</f>
        <v>231351.1267716176</v>
      </c>
      <c r="L66" s="5">
        <f>239761.44620075275</f>
        <v>239761.44620075275</v>
      </c>
    </row>
    <row r="67" spans="1:12" x14ac:dyDescent="0.25">
      <c r="A67" t="s">
        <v>212</v>
      </c>
      <c r="C67" s="5">
        <f>31780.460756174056</f>
        <v>31780.460756174056</v>
      </c>
      <c r="D67" s="5">
        <f>40591.11691697009</f>
        <v>40591.11691697009</v>
      </c>
      <c r="E67" s="5">
        <f>46060.32593017153</f>
        <v>46060.32593017153</v>
      </c>
      <c r="F67" s="5">
        <f>47927.356672200636</f>
        <v>47927.356672200636</v>
      </c>
      <c r="G67" s="5">
        <f>49831.72802907039</f>
        <v>49831.72802907039</v>
      </c>
      <c r="H67" s="5">
        <f>51774.18681307748</f>
        <v>51774.18681307748</v>
      </c>
      <c r="I67" s="5">
        <f>53755.49477276474</f>
        <v>53755.49477276474</v>
      </c>
      <c r="J67" s="5">
        <f>55776.428891645715</f>
        <v>55776.428891645715</v>
      </c>
      <c r="K67" s="5">
        <f>57837.78169290439</f>
        <v>57837.78169290439</v>
      </c>
      <c r="L67" s="5">
        <f>59940.36155018816</f>
        <v>59940.36155018816</v>
      </c>
    </row>
    <row r="68" spans="1:12" x14ac:dyDescent="0.25">
      <c r="A68" t="s">
        <v>237</v>
      </c>
      <c r="C68" s="5">
        <f>IF(1=10,4896300.099238163,0)</f>
        <v>0</v>
      </c>
      <c r="D68" s="5">
        <f>IF(2=10,4896300.099238163,0)</f>
        <v>0</v>
      </c>
      <c r="E68" s="5">
        <f>IF(3=10,4896300.099238163,0)</f>
        <v>0</v>
      </c>
      <c r="F68" s="5">
        <f>IF(4=10,4896300.099238163,0)</f>
        <v>0</v>
      </c>
      <c r="G68" s="5">
        <f>IF(5=10,4896300.099238163,0)</f>
        <v>0</v>
      </c>
      <c r="H68" s="5">
        <f>IF(6=10,4896300.099238163,0)</f>
        <v>0</v>
      </c>
      <c r="I68" s="5">
        <f>IF(7=10,4896300.099238163,0)</f>
        <v>0</v>
      </c>
      <c r="J68" s="5">
        <f>IF(8=10,4896300.099238163,0)</f>
        <v>0</v>
      </c>
      <c r="K68" s="5">
        <f>IF(9=10,4896300.099238163,0)</f>
        <v>0</v>
      </c>
      <c r="L68" s="5">
        <f>IF(10=10,4896300.099238163,0)</f>
        <v>4896300.099238163</v>
      </c>
    </row>
    <row r="69" spans="1:12" x14ac:dyDescent="0.25">
      <c r="A69" t="s">
        <v>238</v>
      </c>
      <c r="C69" s="5">
        <f>IF(1=10,1927751.8372163558,0)</f>
        <v>0</v>
      </c>
      <c r="D69" s="5">
        <f>IF(2=10,1927751.8372163558,0)</f>
        <v>0</v>
      </c>
      <c r="E69" s="5">
        <f>IF(3=10,1927751.8372163558,0)</f>
        <v>0</v>
      </c>
      <c r="F69" s="5">
        <f>IF(4=10,1927751.8372163558,0)</f>
        <v>0</v>
      </c>
      <c r="G69" s="5">
        <f>IF(5=10,1927751.8372163558,0)</f>
        <v>0</v>
      </c>
      <c r="H69" s="5">
        <f>IF(6=10,1927751.8372163558,0)</f>
        <v>0</v>
      </c>
      <c r="I69" s="5">
        <f>IF(7=10,1927751.8372163558,0)</f>
        <v>0</v>
      </c>
      <c r="J69" s="5">
        <f>IF(8=10,1927751.8372163558,0)</f>
        <v>0</v>
      </c>
      <c r="K69" s="5">
        <f>IF(9=10,1927751.8372163558,0)</f>
        <v>0</v>
      </c>
      <c r="L69" s="5">
        <f>IF(10=10,1927751.8372163558,0)</f>
        <v>1927751.8372163558</v>
      </c>
    </row>
    <row r="70" spans="1:12" x14ac:dyDescent="0.25">
      <c r="A70" t="s">
        <v>239</v>
      </c>
      <c r="C70" s="5">
        <f>(C56+C57)*(1-gp_pct)</f>
        <v>102530.40000000001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  <c r="J70" s="5">
        <f>(J56+J57)*(1-gp_pct)</f>
        <v>0</v>
      </c>
      <c r="K70" s="5">
        <f>(K56+K57)*(1-gp_pct)</f>
        <v>0</v>
      </c>
      <c r="L70" s="5">
        <f>(L56+L57)*(1-gp_pct)</f>
        <v>0</v>
      </c>
    </row>
    <row r="71" spans="1:12" x14ac:dyDescent="0.25">
      <c r="A71" t="s">
        <v>240</v>
      </c>
      <c r="C71" s="5">
        <f>(C56+C57)*gp_pct</f>
        <v>25632.599999999995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  <c r="J71" s="5">
        <f>(J56+J57)*gp_pct</f>
        <v>0</v>
      </c>
      <c r="K71" s="5">
        <f>(K56+K57)*gp_pct</f>
        <v>0</v>
      </c>
      <c r="L71" s="5">
        <f>(L56+L57)*gp_pct</f>
        <v>0</v>
      </c>
    </row>
    <row r="72" spans="1:12" x14ac:dyDescent="0.25">
      <c r="A72" s="3" t="s">
        <v>241</v>
      </c>
      <c r="C72" s="5">
        <f>SUM(C66:C71)</f>
        <v>287065.3037808703</v>
      </c>
      <c r="D72" s="5">
        <f>SUM(D66:D71)</f>
        <v>202955.58458485056</v>
      </c>
      <c r="E72" s="5">
        <f>SUM(E66:E71)</f>
        <v>230301.62965085768</v>
      </c>
      <c r="F72" s="5">
        <f>SUM(F66:F71)</f>
        <v>239636.7833610032</v>
      </c>
      <c r="G72" s="5">
        <f>SUM(G66:G71)</f>
        <v>249158.64014535205</v>
      </c>
      <c r="H72" s="5">
        <f>SUM(H66:H71)</f>
        <v>258870.93406538753</v>
      </c>
      <c r="I72" s="5">
        <f>SUM(I66:I71)</f>
        <v>268777.4738638237</v>
      </c>
      <c r="J72" s="5">
        <f>SUM(J66:J71)</f>
        <v>278882.1444582286</v>
      </c>
      <c r="K72" s="5">
        <f>SUM(K66:K71)</f>
        <v>289188.908464522</v>
      </c>
      <c r="L72" s="5">
        <f>SUM(L66:L71)</f>
        <v>7123753.74420546</v>
      </c>
    </row>
    <row r="74" spans="1:12" x14ac:dyDescent="0.25">
      <c r="A74" t="s">
        <v>242</v>
      </c>
      <c r="C74" s="5">
        <f>C55+C56+C57+C64</f>
        <v>287065.3037808703</v>
      </c>
      <c r="D74" s="5">
        <f>D55+D56+D57+D64</f>
        <v>202955.58458485056</v>
      </c>
      <c r="E74" s="5">
        <f>E55+E56+E57+E64</f>
        <v>230301.62965085768</v>
      </c>
      <c r="F74" s="5">
        <f>F55+F56+F57+F64</f>
        <v>239636.7833610032</v>
      </c>
      <c r="G74" s="5">
        <f>G55+G56+G57+G64</f>
        <v>249158.64014535205</v>
      </c>
      <c r="H74" s="5">
        <f>H55+H56+H57+H64</f>
        <v>258870.93406538753</v>
      </c>
      <c r="I74" s="5">
        <f>I55+I56+I57+I64</f>
        <v>268777.4738638237</v>
      </c>
      <c r="J74" s="5">
        <f>J55+J56+J57+J64</f>
        <v>278882.1444582286</v>
      </c>
      <c r="K74" s="5">
        <f>K55+K56+K57+K64</f>
        <v>289188.908464522</v>
      </c>
      <c r="L74" s="5">
        <f>L55+L56+L57+L64</f>
        <v>7123753.74420546</v>
      </c>
    </row>
    <row r="75" spans="1:12" x14ac:dyDescent="0.25">
      <c r="A75" t="s">
        <v>243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  <c r="J75" s="5">
        <f>J74-J72</f>
        <v>0</v>
      </c>
      <c r="K75" s="5">
        <f>K74-K72</f>
        <v>0</v>
      </c>
      <c r="L75" s="5">
        <f>L74-L72</f>
        <v>0</v>
      </c>
    </row>
    <row r="77" spans="1:12" x14ac:dyDescent="0.25">
      <c r="A77" t="s">
        <v>244</v>
      </c>
      <c r="B77" s="5">
        <f>-B48</f>
        <v>-2428174.202040816</v>
      </c>
      <c r="C77" s="5">
        <f>C66+C68+C70</f>
        <v>229652.24302469625</v>
      </c>
      <c r="D77" s="5">
        <f>D66+D68+D70</f>
        <v>162364.46766788047</v>
      </c>
      <c r="E77" s="5">
        <f>E66+E68+E70</f>
        <v>184241.30372068615</v>
      </c>
      <c r="F77" s="5">
        <f>F66+F68+F70</f>
        <v>191709.42668880257</v>
      </c>
      <c r="G77" s="5">
        <f>G66+G68+G70</f>
        <v>199326.91211628166</v>
      </c>
      <c r="H77" s="5">
        <f>H66+H68+H70</f>
        <v>207096.74725231004</v>
      </c>
      <c r="I77" s="5">
        <f>I66+I68+I70</f>
        <v>215021.97909105895</v>
      </c>
      <c r="J77" s="5">
        <f>J66+J68+J70</f>
        <v>223105.7155665829</v>
      </c>
      <c r="K77" s="5">
        <f>K66+K68+K70</f>
        <v>231351.1267716176</v>
      </c>
      <c r="L77" s="5">
        <f>L66+L68+L70</f>
        <v>5136061.5454389155</v>
      </c>
    </row>
    <row r="78" spans="1:12" x14ac:dyDescent="0.25">
      <c r="A78" t="s">
        <v>245</v>
      </c>
      <c r="B78" s="5">
        <f>B77</f>
        <v>-2428174.202040816</v>
      </c>
      <c r="C78" s="5">
        <f>B78+C77</f>
        <v>-2198521.95901612</v>
      </c>
      <c r="D78" s="5">
        <f>C78+D77</f>
        <v>-2036157.4913482396</v>
      </c>
      <c r="E78" s="5">
        <f>D78+E77</f>
        <v>-1851916.1876275535</v>
      </c>
      <c r="F78" s="5">
        <f>E78+F77</f>
        <v>-1660206.7609387508</v>
      </c>
      <c r="G78" s="5">
        <f>F78+G77</f>
        <v>-1460879.8488224691</v>
      </c>
      <c r="H78" s="5">
        <f>G78+H77</f>
        <v>-1253783.1015701592</v>
      </c>
      <c r="I78" s="5">
        <f>H78+I77</f>
        <v>-1038761.1224791002</v>
      </c>
      <c r="J78" s="5">
        <f>I78+J77</f>
        <v>-815655.4069125174</v>
      </c>
      <c r="K78" s="5">
        <f>J78+K77</f>
        <v>-584304.2801408998</v>
      </c>
      <c r="L78" s="5">
        <f>K78+L77</f>
        <v>4551757.265298015</v>
      </c>
    </row>
    <row r="81" spans="1:1" x14ac:dyDescent="0.25">
      <c r="A81" s="3" t="s">
        <v>247</v>
      </c>
    </row>
    <row r="82" spans="2:12" x14ac:dyDescent="0.25">
      <c r="B82" s="3" t="s">
        <v>226</v>
      </c>
      <c r="C82" s="3" t="s">
        <v>158</v>
      </c>
      <c r="D82" s="3" t="s">
        <v>159</v>
      </c>
      <c r="E82" s="3" t="s">
        <v>160</v>
      </c>
      <c r="F82" s="3" t="s">
        <v>161</v>
      </c>
      <c r="G82" s="3" t="s">
        <v>162</v>
      </c>
      <c r="H82" s="3" t="s">
        <v>163</v>
      </c>
      <c r="I82" s="3" t="s">
        <v>164</v>
      </c>
      <c r="J82" s="3" t="s">
        <v>165</v>
      </c>
      <c r="K82" s="3" t="s">
        <v>166</v>
      </c>
      <c r="L82" s="3" t="s">
        <v>167</v>
      </c>
    </row>
    <row r="83" spans="1:2" x14ac:dyDescent="0.25">
      <c r="A83" t="s">
        <v>227</v>
      </c>
      <c r="B83" s="5">
        <f>-IF(Assumptions!$D$47&gt;0,tpc,cost_base)</f>
        <v>-6287040.816326532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-90774.81887755104</v>
      </c>
    </row>
    <row r="85" spans="1:2" x14ac:dyDescent="0.25">
      <c r="A85" t="s">
        <v>17</v>
      </c>
      <c r="B85" s="5">
        <f>-vat_float</f>
        <v>-128163</v>
      </c>
    </row>
    <row r="86" spans="1:2" x14ac:dyDescent="0.25">
      <c r="A86" t="s">
        <v>228</v>
      </c>
      <c r="B86" s="5">
        <f>Assumptions!$D$47*tpc</f>
        <v>4086576.530612245</v>
      </c>
    </row>
    <row r="87" spans="1:2" x14ac:dyDescent="0.25">
      <c r="A87" t="s">
        <v>229</v>
      </c>
      <c r="B87" s="5">
        <f>(-(B83+B86+B84)-B85)*(1-gp_pct)</f>
        <v>1935521.6836734693</v>
      </c>
    </row>
    <row r="88" spans="1:2" x14ac:dyDescent="0.25">
      <c r="A88" t="s">
        <v>230</v>
      </c>
      <c r="B88" s="5">
        <f>(-(B83+B86+B84)-B85)*gp_pct</f>
        <v>483880.42091836734</v>
      </c>
    </row>
    <row r="89" spans="1:2" x14ac:dyDescent="0.25">
      <c r="A89" s="3" t="s">
        <v>231</v>
      </c>
      <c r="B89" s="5">
        <f>SUM(B83:B88)</f>
        <v>0</v>
      </c>
    </row>
    <row r="91" spans="1:12" x14ac:dyDescent="0.25">
      <c r="A91" t="s">
        <v>196</v>
      </c>
      <c r="C91" s="5">
        <f>'P&amp;L'!C32</f>
        <v>440492.7513812963</v>
      </c>
      <c r="D91" s="5">
        <f>'P&amp;L'!D32</f>
        <v>484546.03218527656</v>
      </c>
      <c r="E91" s="5">
        <f>'P&amp;L'!E32</f>
        <v>511892.07725128374</v>
      </c>
      <c r="F91" s="5">
        <f>'P&amp;L'!F32</f>
        <v>521227.23096142925</v>
      </c>
      <c r="G91" s="5">
        <f>'P&amp;L'!G32</f>
        <v>530749.087745778</v>
      </c>
      <c r="H91" s="5">
        <f>'P&amp;L'!H32</f>
        <v>540461.3816658135</v>
      </c>
      <c r="I91" s="5">
        <f>'P&amp;L'!I32</f>
        <v>550367.9214642497</v>
      </c>
      <c r="J91" s="5">
        <f>'P&amp;L'!J32</f>
        <v>560472.5920586546</v>
      </c>
      <c r="K91" s="5">
        <f>'P&amp;L'!K32</f>
        <v>570779.356064948</v>
      </c>
      <c r="L91" s="5">
        <f>'P&amp;L'!L32</f>
        <v>581292.2553513669</v>
      </c>
    </row>
    <row r="92" spans="1:12" x14ac:dyDescent="0.25">
      <c r="A92" t="s">
        <v>201</v>
      </c>
      <c r="C92" s="5">
        <f>IF(B86=0,0,CUMIPMT(Assumptions!$D$48/12,Assumptions!$D$49*12,B86,1,12,0))</f>
        <v>-109581.46614161316</v>
      </c>
      <c r="D92" s="5">
        <f>IF(B86=0,0,CUMIPMT(Assumptions!$D$48/12,Assumptions!$D$49*12,B86,13,24,0))</f>
        <v>-103365.30597181062</v>
      </c>
      <c r="E92" s="5">
        <f>IF(B86=0,0,CUMIPMT(Assumptions!$D$48/12,Assumptions!$D$49*12,B86,25,36,0))</f>
        <v>-96976.03024155351</v>
      </c>
      <c r="F92" s="5">
        <f>IF(B86=0,0,CUMIPMT(Assumptions!$D$48/12,Assumptions!$D$49*12,B86,37,48,0))</f>
        <v>-90408.8178078126</v>
      </c>
      <c r="G92" s="5">
        <f>IF(B86=0,0,CUMIPMT(Assumptions!$D$48/12,Assumptions!$D$49*12,B86,49,60,0))</f>
        <v>-83658.71326221558</v>
      </c>
      <c r="H92" s="5">
        <f>IF(B86=0,0,CUMIPMT(Assumptions!$D$48/12,Assumptions!$D$49*12,B86,61,72,0))</f>
        <v>-76720.62319185448</v>
      </c>
      <c r="I92" s="5">
        <f>IF(B86=0,0,CUMIPMT(Assumptions!$D$48/12,Assumptions!$D$49*12,B86,73,84,0))</f>
        <v>-69589.31233595932</v>
      </c>
      <c r="J92" s="5">
        <f>IF(B86=0,0,CUMIPMT(Assumptions!$D$48/12,Assumptions!$D$49*12,B86,85,96,0))</f>
        <v>-62259.39963553782</v>
      </c>
      <c r="K92" s="5">
        <f>IF(B86=0,0,CUMIPMT(Assumptions!$D$48/12,Assumptions!$D$49*12,B86,97,108,0))</f>
        <v>-54725.35417300049</v>
      </c>
      <c r="L92" s="5">
        <f>IF(B86=0,0,CUMIPMT(Assumptions!$D$48/12,Assumptions!$D$49*12,B86,109,120,0))</f>
        <v>-46981.49099870708</v>
      </c>
    </row>
    <row r="93" spans="1:12" x14ac:dyDescent="0.25">
      <c r="A93" t="s">
        <v>202</v>
      </c>
      <c r="C93" s="5">
        <f>IF(B86=0,0,CUMPRINC(Assumptions!$D$48/12,Assumptions!$D$49*12,B86,1,12,0))</f>
        <v>-223207.24465889035</v>
      </c>
      <c r="D93" s="5">
        <f>IF(B86=0,0,CUMPRINC(Assumptions!$D$48/12,Assumptions!$D$49*12,B86,13,24,0))</f>
        <v>-229423.4048286929</v>
      </c>
      <c r="E93" s="5">
        <f>IF(B86=0,0,CUMPRINC(Assumptions!$D$48/12,Assumptions!$D$49*12,B86,25,36,0))</f>
        <v>-235812.68055895003</v>
      </c>
      <c r="F93" s="5">
        <f>IF(B86=0,0,CUMPRINC(Assumptions!$D$48/12,Assumptions!$D$49*12,B86,37,48,0))</f>
        <v>-242379.8929926909</v>
      </c>
      <c r="G93" s="5">
        <f>IF(B86=0,0,CUMPRINC(Assumptions!$D$48/12,Assumptions!$D$49*12,B86,49,60,0))</f>
        <v>-249129.99753828792</v>
      </c>
      <c r="H93" s="5">
        <f>IF(B86=0,0,CUMPRINC(Assumptions!$D$48/12,Assumptions!$D$49*12,B86,61,72,0))</f>
        <v>-256068.08760864902</v>
      </c>
      <c r="I93" s="5">
        <f>IF(B86=0,0,CUMPRINC(Assumptions!$D$48/12,Assumptions!$D$49*12,B86,73,84,0))</f>
        <v>-263199.3984645442</v>
      </c>
      <c r="J93" s="5">
        <f>IF(B86=0,0,CUMPRINC(Assumptions!$D$48/12,Assumptions!$D$49*12,B86,85,96,0))</f>
        <v>-270529.3111649657</v>
      </c>
      <c r="K93" s="5">
        <f>IF(B86=0,0,CUMPRINC(Assumptions!$D$48/12,Assumptions!$D$49*12,B86,97,108,0))</f>
        <v>-278063.356627503</v>
      </c>
      <c r="L93" s="5">
        <f>IF(B86=0,0,CUMPRINC(Assumptions!$D$48/12,Assumptions!$D$49*12,B86,109,120,0))</f>
        <v>-285807.2198017964</v>
      </c>
    </row>
    <row r="94" spans="1:12" x14ac:dyDescent="0.25">
      <c r="A94" t="s">
        <v>232</v>
      </c>
      <c r="C94" s="5">
        <f>C91+C92+C93</f>
        <v>107704.04058079282</v>
      </c>
      <c r="D94" s="5">
        <f>D91+D92+D93</f>
        <v>151757.321384773</v>
      </c>
      <c r="E94" s="5">
        <f>E91+E92+E93</f>
        <v>179103.36645078022</v>
      </c>
      <c r="F94" s="5">
        <f>F91+F92+F93</f>
        <v>188438.52016092575</v>
      </c>
      <c r="G94" s="5">
        <f>G91+G92+G93</f>
        <v>197960.3769452745</v>
      </c>
      <c r="H94" s="5">
        <f>H91+H92+H93</f>
        <v>207672.67086531004</v>
      </c>
      <c r="I94" s="5">
        <f>I91+I92+I93</f>
        <v>217579.21066374623</v>
      </c>
      <c r="J94" s="5">
        <f>J91+J92+J93</f>
        <v>227683.88125815114</v>
      </c>
      <c r="K94" s="5">
        <f>K91+K92+K93</f>
        <v>237990.64526444452</v>
      </c>
      <c r="L94" s="5">
        <f>L91+L92+L93</f>
        <v>248503.5445508634</v>
      </c>
    </row>
    <row r="95" spans="1:12" x14ac:dyDescent="0.25">
      <c r="A95" t="s">
        <v>233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  <c r="J95" s="5">
        <f>0</f>
        <v>0</v>
      </c>
      <c r="K95" s="5">
        <f>0</f>
        <v>0</v>
      </c>
      <c r="L95" s="5">
        <f>0</f>
        <v>0</v>
      </c>
    </row>
    <row r="96" spans="1:12" x14ac:dyDescent="0.25">
      <c r="A96" t="s">
        <v>234</v>
      </c>
      <c r="C96" s="5">
        <f>IF(1=MIN(MAX(1,ROUNDUP(vat_months/12,0)),10),-B85,0)</f>
        <v>128163</v>
      </c>
      <c r="D96" s="5">
        <f>IF(2=MIN(MAX(1,ROUNDUP(vat_months/12,0)),10),-B85,0)</f>
        <v>0</v>
      </c>
      <c r="E96" s="5">
        <f>IF(3=MIN(MAX(1,ROUNDUP(vat_months/12,0)),10),-B85,0)</f>
        <v>0</v>
      </c>
      <c r="F96" s="5">
        <f>IF(4=MIN(MAX(1,ROUNDUP(vat_months/12,0)),10),-B85,0)</f>
        <v>0</v>
      </c>
      <c r="G96" s="5">
        <f>IF(5=MIN(MAX(1,ROUNDUP(vat_months/12,0)),10),-B85,0)</f>
        <v>0</v>
      </c>
      <c r="H96" s="5">
        <f>IF(6=MIN(MAX(1,ROUNDUP(vat_months/12,0)),10),-B85,0)</f>
        <v>0</v>
      </c>
      <c r="I96" s="5">
        <f>IF(7=MIN(MAX(1,ROUNDUP(vat_months/12,0)),10),-B85,0)</f>
        <v>0</v>
      </c>
      <c r="J96" s="5">
        <f>IF(8=MIN(MAX(1,ROUNDUP(vat_months/12,0)),10),-B85,0)</f>
        <v>0</v>
      </c>
      <c r="K96" s="5">
        <f>IF(9=MIN(MAX(1,ROUNDUP(vat_months/12,0)),10),-B85,0)</f>
        <v>0</v>
      </c>
      <c r="L96" s="5">
        <f>IF(10=MIN(MAX(1,ROUNDUP(vat_months/12,0)),10),-B85,0)</f>
        <v>0</v>
      </c>
    </row>
    <row r="97" spans="1:12" x14ac:dyDescent="0.25">
      <c r="A97" t="s">
        <v>235</v>
      </c>
      <c r="C97" s="5">
        <f>C94+C95+C96</f>
        <v>235867.04058079282</v>
      </c>
      <c r="D97" s="5">
        <f>C97+D94+D95+D96</f>
        <v>387624.3619655658</v>
      </c>
      <c r="E97" s="5">
        <f>D97+E94+E95+E96</f>
        <v>566727.728416346</v>
      </c>
      <c r="F97" s="5">
        <f>E97+F94+F95+F96</f>
        <v>755166.2485772718</v>
      </c>
      <c r="G97" s="5">
        <f>F97+G94+G95+G96</f>
        <v>953126.6255225464</v>
      </c>
      <c r="H97" s="5">
        <f>G97+H94+H95+H96</f>
        <v>1160799.2963878564</v>
      </c>
      <c r="I97" s="5">
        <f>H97+I94+I95+I96</f>
        <v>1378378.5070516025</v>
      </c>
      <c r="J97" s="5">
        <f>I97+J94+J95+J96</f>
        <v>1606062.3883097535</v>
      </c>
      <c r="K97" s="5">
        <f>J97+K94+K95+K96</f>
        <v>1844053.033574198</v>
      </c>
      <c r="L97" s="5">
        <f>K97+L94+L95+L96</f>
        <v>2092556.5781250612</v>
      </c>
    </row>
    <row r="98" spans="1:12" x14ac:dyDescent="0.25">
      <c r="A98" t="s">
        <v>236</v>
      </c>
      <c r="C98" s="7">
        <f>IF((C92+C93)=0,0,-C91/(C92+C93))</f>
        <v>1.3236409081357272</v>
      </c>
      <c r="D98" s="7">
        <f>IF((D92+D93)=0,0,-D91/(D92+D93))</f>
        <v>1.4560170356131668</v>
      </c>
      <c r="E98" s="7">
        <f>IF((E92+E93)=0,0,-E91/(E92+E93))</f>
        <v>1.5381894296232514</v>
      </c>
      <c r="F98" s="7">
        <f>IF((F92+F93)=0,0,-F91/(F92+F93))</f>
        <v>1.5662407228527917</v>
      </c>
      <c r="G98" s="7">
        <f>IF((G92+G93)=0,0,-G91/(G92+G93))</f>
        <v>1.5948530419469236</v>
      </c>
      <c r="H98" s="7">
        <f>IF((H92+H93)=0,0,-H91/(H92+H93))</f>
        <v>1.6240376074229372</v>
      </c>
      <c r="I98" s="7">
        <f>IF((I92+I93)=0,0,-I91/(I92+I93))</f>
        <v>1.6538058642084714</v>
      </c>
      <c r="J98" s="7">
        <f>IF((J92+J93)=0,0,-J91/(J92+J93))</f>
        <v>1.684169486129716</v>
      </c>
      <c r="K98" s="7">
        <f>IF((K92+K93)=0,0,-K91/(K92+K93))</f>
        <v>1.7151403804893866</v>
      </c>
      <c r="L98" s="7">
        <f>IF((L92+L93)=0,0,-L91/(L92+L93))</f>
        <v>1.7467306927362498</v>
      </c>
    </row>
    <row r="100" spans="1:12" x14ac:dyDescent="0.25">
      <c r="A100" t="s">
        <v>26</v>
      </c>
      <c r="C100" s="5">
        <f>IF(1=10,'P&amp;L'!L32/cap,0)</f>
        <v>0</v>
      </c>
      <c r="D100" s="5">
        <f>IF(2=10,'P&amp;L'!L32/cap,0)</f>
        <v>0</v>
      </c>
      <c r="E100" s="5">
        <f>IF(3=10,'P&amp;L'!L32/cap,0)</f>
        <v>0</v>
      </c>
      <c r="F100" s="5">
        <f>IF(4=10,'P&amp;L'!L32/cap,0)</f>
        <v>0</v>
      </c>
      <c r="G100" s="5">
        <f>IF(5=10,'P&amp;L'!L32/cap,0)</f>
        <v>0</v>
      </c>
      <c r="H100" s="5">
        <f>IF(6=10,'P&amp;L'!L32/cap,0)</f>
        <v>0</v>
      </c>
      <c r="I100" s="5">
        <f>IF(7=10,'P&amp;L'!L32/cap,0)</f>
        <v>0</v>
      </c>
      <c r="J100" s="5">
        <f>IF(8=10,'P&amp;L'!L32/cap,0)</f>
        <v>0</v>
      </c>
      <c r="K100" s="5">
        <f>IF(9=10,'P&amp;L'!L32/cap,0)</f>
        <v>0</v>
      </c>
      <c r="L100" s="5">
        <f>IF(10=10,'P&amp;L'!L32/cap,0)</f>
        <v>8304175.076448101</v>
      </c>
    </row>
    <row r="101" spans="1:12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0</v>
      </c>
      <c r="J101" s="5">
        <f>-J100*sell_pct</f>
        <v>0</v>
      </c>
      <c r="K101" s="5">
        <f>-K100*sell_pct</f>
        <v>0</v>
      </c>
      <c r="L101" s="5">
        <f>-L100*sell_pct</f>
        <v>-166083.50152896252</v>
      </c>
    </row>
    <row r="102" spans="1:12" x14ac:dyDescent="0.25">
      <c r="A102" t="s">
        <v>28</v>
      </c>
      <c r="C102" s="5">
        <f>IF(1&lt;10,0,IF(B86=0,0,-(B86+CUMPRINC(Assumptions!$D$48/12,Assumptions!$D$49*12,B86,1,120,0))))</f>
        <v>0</v>
      </c>
      <c r="D102" s="5">
        <f>IF(2&lt;10,0,IF(B86=0,0,-(B86+CUMPRINC(Assumptions!$D$48/12,Assumptions!$D$49*12,B86,1,120,0))))</f>
        <v>0</v>
      </c>
      <c r="E102" s="5">
        <f>IF(3&lt;10,0,IF(B86=0,0,-(B86+CUMPRINC(Assumptions!$D$48/12,Assumptions!$D$49*12,B86,1,120,0))))</f>
        <v>0</v>
      </c>
      <c r="F102" s="5">
        <f>IF(4&lt;10,0,IF(B86=0,0,-(B86+CUMPRINC(Assumptions!$D$48/12,Assumptions!$D$49*12,B86,1,120,0))))</f>
        <v>0</v>
      </c>
      <c r="G102" s="5">
        <f>IF(5&lt;10,0,IF(B86=0,0,-(B86+CUMPRINC(Assumptions!$D$48/12,Assumptions!$D$49*12,B86,1,120,0))))</f>
        <v>0</v>
      </c>
      <c r="H102" s="5">
        <f>IF(6&lt;10,0,IF(B86=0,0,-(B86+CUMPRINC(Assumptions!$D$48/12,Assumptions!$D$49*12,B86,1,120,0))))</f>
        <v>0</v>
      </c>
      <c r="I102" s="5">
        <f>IF(7&lt;10,0,IF(B86=0,0,-(B86+CUMPRINC(Assumptions!$D$48/12,Assumptions!$D$49*12,B86,1,120,0))))</f>
        <v>0</v>
      </c>
      <c r="J102" s="5">
        <f>IF(8&lt;10,0,IF(B86=0,0,-(B86+CUMPRINC(Assumptions!$D$48/12,Assumptions!$D$49*12,B86,1,120,0))))</f>
        <v>0</v>
      </c>
      <c r="K102" s="5">
        <f>IF(9&lt;10,0,IF(B86=0,0,-(B86+CUMPRINC(Assumptions!$D$48/12,Assumptions!$D$49*12,B86,1,120,0))))</f>
        <v>0</v>
      </c>
      <c r="L102" s="5">
        <f>IF(10&lt;10,0,IF(B86=0,0,-(B86+CUMPRINC(Assumptions!$D$48/12,Assumptions!$D$49*12,B86,1,120,0))))</f>
        <v>-1552955.9363672729</v>
      </c>
    </row>
    <row r="103" spans="1:12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0</v>
      </c>
      <c r="J103" s="5">
        <f>J100+J101+J102</f>
        <v>0</v>
      </c>
      <c r="K103" s="5">
        <f>K100+K101+K102</f>
        <v>0</v>
      </c>
      <c r="L103" s="5">
        <f>L100+L101+L102</f>
        <v>6585135.638551865</v>
      </c>
    </row>
    <row r="105" spans="1:12" x14ac:dyDescent="0.25">
      <c r="A105" t="s">
        <v>211</v>
      </c>
      <c r="C105" s="5">
        <f>86163.23246463426</f>
        <v>86163.23246463426</v>
      </c>
      <c r="D105" s="5">
        <f>121405.85710781842</f>
        <v>121405.85710781842</v>
      </c>
      <c r="E105" s="5">
        <f>143282.69316062419</f>
        <v>143282.69316062419</v>
      </c>
      <c r="F105" s="5">
        <f>150750.8161287406</f>
        <v>150750.8161287406</v>
      </c>
      <c r="G105" s="5">
        <f>158368.3015562196</f>
        <v>158368.3015562196</v>
      </c>
      <c r="H105" s="5">
        <f>166138.13669224805</f>
        <v>166138.13669224805</v>
      </c>
      <c r="I105" s="5">
        <f>174063.368530997</f>
        <v>174063.368530997</v>
      </c>
      <c r="J105" s="5">
        <f>182147.10500652093</f>
        <v>182147.10500652093</v>
      </c>
      <c r="K105" s="5">
        <f>190392.51621155563</f>
        <v>190392.51621155563</v>
      </c>
      <c r="L105" s="5">
        <f>198802.83564069073</f>
        <v>198802.83564069073</v>
      </c>
    </row>
    <row r="106" spans="1:12" x14ac:dyDescent="0.25">
      <c r="A106" t="s">
        <v>212</v>
      </c>
      <c r="C106" s="5">
        <f>21540.808116158558</f>
        <v>21540.808116158558</v>
      </c>
      <c r="D106" s="5">
        <f>30351.46427695459</f>
        <v>30351.46427695459</v>
      </c>
      <c r="E106" s="5">
        <f>35820.67329015603</f>
        <v>35820.67329015603</v>
      </c>
      <c r="F106" s="5">
        <f>37687.70403218514</f>
        <v>37687.70403218514</v>
      </c>
      <c r="G106" s="5">
        <f>39592.075389054895</f>
        <v>39592.075389054895</v>
      </c>
      <c r="H106" s="5">
        <f>41534.534173061984</f>
        <v>41534.534173061984</v>
      </c>
      <c r="I106" s="5">
        <f>43515.84213274924</f>
        <v>43515.84213274924</v>
      </c>
      <c r="J106" s="5">
        <f>45536.77625163022</f>
        <v>45536.77625163022</v>
      </c>
      <c r="K106" s="5">
        <f>47598.12905288889</f>
        <v>47598.12905288889</v>
      </c>
      <c r="L106" s="5">
        <f>49700.70891017266</f>
        <v>49700.70891017266</v>
      </c>
    </row>
    <row r="107" spans="1:12" x14ac:dyDescent="0.25">
      <c r="A107" t="s">
        <v>237</v>
      </c>
      <c r="C107" s="5">
        <f>IF(1=10,4586661.761806458,0)</f>
        <v>0</v>
      </c>
      <c r="D107" s="5">
        <f>IF(2=10,4586661.761806458,0)</f>
        <v>0</v>
      </c>
      <c r="E107" s="5">
        <f>IF(3=10,4586661.761806458,0)</f>
        <v>0</v>
      </c>
      <c r="F107" s="5">
        <f>IF(4=10,4586661.761806458,0)</f>
        <v>0</v>
      </c>
      <c r="G107" s="5">
        <f>IF(5=10,4586661.761806458,0)</f>
        <v>0</v>
      </c>
      <c r="H107" s="5">
        <f>IF(6=10,4586661.761806458,0)</f>
        <v>0</v>
      </c>
      <c r="I107" s="5">
        <f>IF(7=10,4586661.761806458,0)</f>
        <v>0</v>
      </c>
      <c r="J107" s="5">
        <f>IF(8=10,4586661.761806458,0)</f>
        <v>0</v>
      </c>
      <c r="K107" s="5">
        <f>IF(9=10,4586661.761806458,0)</f>
        <v>0</v>
      </c>
      <c r="L107" s="5">
        <f>IF(10=10,4586661.761806458,0)</f>
        <v>4586661.761806458</v>
      </c>
    </row>
    <row r="108" spans="1:12" x14ac:dyDescent="0.25">
      <c r="A108" t="s">
        <v>238</v>
      </c>
      <c r="C108" s="5">
        <f>IF(1=10,1998473.8767454065,0)</f>
        <v>0</v>
      </c>
      <c r="D108" s="5">
        <f>IF(2=10,1998473.8767454065,0)</f>
        <v>0</v>
      </c>
      <c r="E108" s="5">
        <f>IF(3=10,1998473.8767454065,0)</f>
        <v>0</v>
      </c>
      <c r="F108" s="5">
        <f>IF(4=10,1998473.8767454065,0)</f>
        <v>0</v>
      </c>
      <c r="G108" s="5">
        <f>IF(5=10,1998473.8767454065,0)</f>
        <v>0</v>
      </c>
      <c r="H108" s="5">
        <f>IF(6=10,1998473.8767454065,0)</f>
        <v>0</v>
      </c>
      <c r="I108" s="5">
        <f>IF(7=10,1998473.8767454065,0)</f>
        <v>0</v>
      </c>
      <c r="J108" s="5">
        <f>IF(8=10,1998473.8767454065,0)</f>
        <v>0</v>
      </c>
      <c r="K108" s="5">
        <f>IF(9=10,1998473.8767454065,0)</f>
        <v>0</v>
      </c>
      <c r="L108" s="5">
        <f>IF(10=10,1998473.8767454065,0)</f>
        <v>1998473.8767454065</v>
      </c>
    </row>
    <row r="109" spans="1:12" x14ac:dyDescent="0.25">
      <c r="A109" t="s">
        <v>239</v>
      </c>
      <c r="C109" s="5">
        <f>(C95+C96)*(1-gp_pct)</f>
        <v>102530.40000000001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  <c r="J109" s="5">
        <f>(J95+J96)*(1-gp_pct)</f>
        <v>0</v>
      </c>
      <c r="K109" s="5">
        <f>(K95+K96)*(1-gp_pct)</f>
        <v>0</v>
      </c>
      <c r="L109" s="5">
        <f>(L95+L96)*(1-gp_pct)</f>
        <v>0</v>
      </c>
    </row>
    <row r="110" spans="1:12" x14ac:dyDescent="0.25">
      <c r="A110" t="s">
        <v>240</v>
      </c>
      <c r="C110" s="5">
        <f>(C95+C96)*gp_pct</f>
        <v>25632.599999999995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  <c r="J110" s="5">
        <f>(J95+J96)*gp_pct</f>
        <v>0</v>
      </c>
      <c r="K110" s="5">
        <f>(K95+K96)*gp_pct</f>
        <v>0</v>
      </c>
      <c r="L110" s="5">
        <f>(L95+L96)*gp_pct</f>
        <v>0</v>
      </c>
    </row>
    <row r="111" spans="1:12" x14ac:dyDescent="0.25">
      <c r="A111" s="3" t="s">
        <v>241</v>
      </c>
      <c r="C111" s="5">
        <f>SUM(C105:C110)</f>
        <v>235867.04058079282</v>
      </c>
      <c r="D111" s="5">
        <f>SUM(D105:D110)</f>
        <v>151757.321384773</v>
      </c>
      <c r="E111" s="5">
        <f>SUM(E105:E110)</f>
        <v>179103.36645078022</v>
      </c>
      <c r="F111" s="5">
        <f>SUM(F105:F110)</f>
        <v>188438.52016092575</v>
      </c>
      <c r="G111" s="5">
        <f>SUM(G105:G110)</f>
        <v>197960.3769452745</v>
      </c>
      <c r="H111" s="5">
        <f>SUM(H105:H110)</f>
        <v>207672.67086531004</v>
      </c>
      <c r="I111" s="5">
        <f>SUM(I105:I110)</f>
        <v>217579.21066374623</v>
      </c>
      <c r="J111" s="5">
        <f>SUM(J105:J110)</f>
        <v>227683.88125815114</v>
      </c>
      <c r="K111" s="5">
        <f>SUM(K105:K110)</f>
        <v>237990.64526444452</v>
      </c>
      <c r="L111" s="5">
        <f>SUM(L105:L110)</f>
        <v>6833639.183102728</v>
      </c>
    </row>
    <row r="113" spans="1:12" x14ac:dyDescent="0.25">
      <c r="A113" t="s">
        <v>242</v>
      </c>
      <c r="C113" s="5">
        <f>C94+C95+C96+C103</f>
        <v>235867.04058079282</v>
      </c>
      <c r="D113" s="5">
        <f>D94+D95+D96+D103</f>
        <v>151757.321384773</v>
      </c>
      <c r="E113" s="5">
        <f>E94+E95+E96+E103</f>
        <v>179103.36645078022</v>
      </c>
      <c r="F113" s="5">
        <f>F94+F95+F96+F103</f>
        <v>188438.52016092575</v>
      </c>
      <c r="G113" s="5">
        <f>G94+G95+G96+G103</f>
        <v>197960.3769452745</v>
      </c>
      <c r="H113" s="5">
        <f>H94+H95+H96+H103</f>
        <v>207672.67086531004</v>
      </c>
      <c r="I113" s="5">
        <f>I94+I95+I96+I103</f>
        <v>217579.21066374623</v>
      </c>
      <c r="J113" s="5">
        <f>J94+J95+J96+J103</f>
        <v>227683.88125815114</v>
      </c>
      <c r="K113" s="5">
        <f>K94+K95+K96+K103</f>
        <v>237990.64526444452</v>
      </c>
      <c r="L113" s="5">
        <f>L94+L95+L96+L103</f>
        <v>6833639.183102728</v>
      </c>
    </row>
    <row r="114" spans="1:12" x14ac:dyDescent="0.25">
      <c r="A114" t="s">
        <v>243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  <c r="J114" s="5">
        <f>J113-J111</f>
        <v>0</v>
      </c>
      <c r="K114" s="5">
        <f>K113-K111</f>
        <v>0</v>
      </c>
      <c r="L114" s="5">
        <f>L113-L111</f>
        <v>0</v>
      </c>
    </row>
    <row r="116" spans="1:12" x14ac:dyDescent="0.25">
      <c r="A116" t="s">
        <v>244</v>
      </c>
      <c r="B116" s="5">
        <f>-B87</f>
        <v>-1935521.6836734693</v>
      </c>
      <c r="C116" s="5">
        <f>C105+C107+C109</f>
        <v>188693.63246463425</v>
      </c>
      <c r="D116" s="5">
        <f>D105+D107+D109</f>
        <v>121405.85710781842</v>
      </c>
      <c r="E116" s="5">
        <f>E105+E107+E109</f>
        <v>143282.69316062419</v>
      </c>
      <c r="F116" s="5">
        <f>F105+F107+F109</f>
        <v>150750.8161287406</v>
      </c>
      <c r="G116" s="5">
        <f>G105+G107+G109</f>
        <v>158368.3015562196</v>
      </c>
      <c r="H116" s="5">
        <f>H105+H107+H109</f>
        <v>166138.13669224805</v>
      </c>
      <c r="I116" s="5">
        <f>I105+I107+I109</f>
        <v>174063.368530997</v>
      </c>
      <c r="J116" s="5">
        <f>J105+J107+J109</f>
        <v>182147.10500652093</v>
      </c>
      <c r="K116" s="5">
        <f>K105+K107+K109</f>
        <v>190392.51621155563</v>
      </c>
      <c r="L116" s="5">
        <f>L105+L107+L109</f>
        <v>4785464.5974471485</v>
      </c>
    </row>
    <row r="117" spans="1:12" x14ac:dyDescent="0.25">
      <c r="A117" t="s">
        <v>245</v>
      </c>
      <c r="B117" s="5">
        <f>B116</f>
        <v>-1935521.6836734693</v>
      </c>
      <c r="C117" s="5">
        <f>B117+C116</f>
        <v>-1746828.051208835</v>
      </c>
      <c r="D117" s="5">
        <f>C117+D116</f>
        <v>-1625422.1941010167</v>
      </c>
      <c r="E117" s="5">
        <f>D117+E116</f>
        <v>-1482139.5009403925</v>
      </c>
      <c r="F117" s="5">
        <f>E117+F116</f>
        <v>-1331388.684811652</v>
      </c>
      <c r="G117" s="5">
        <f>F117+G116</f>
        <v>-1173020.3832554324</v>
      </c>
      <c r="H117" s="5">
        <f>G117+H116</f>
        <v>-1006882.2465631843</v>
      </c>
      <c r="I117" s="5">
        <f>H117+I116</f>
        <v>-832818.8780321873</v>
      </c>
      <c r="J117" s="5">
        <f>I117+J116</f>
        <v>-650671.7730256664</v>
      </c>
      <c r="K117" s="5">
        <f>J117+K116</f>
        <v>-460279.25681411073</v>
      </c>
      <c r="L117" s="5">
        <f>K117+L116</f>
        <v>4325185.3406330375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248</v>
      </c>
    </row>
    <row r="3" spans="1:7" x14ac:dyDescent="0.25">
      <c r="A3" s="3" t="s">
        <v>249</v>
      </c>
      <c r="B3" s="3" t="s">
        <v>13</v>
      </c>
      <c r="C3" s="3" t="s">
        <v>19</v>
      </c>
      <c r="D3" s="3" t="s">
        <v>31</v>
      </c>
      <c r="E3" s="3" t="s">
        <v>222</v>
      </c>
      <c r="F3" s="3" t="s">
        <v>236</v>
      </c>
      <c r="G3" s="3" t="s">
        <v>250</v>
      </c>
    </row>
    <row r="4" spans="1:7" x14ac:dyDescent="0.25">
      <c r="A4" t="s">
        <v>81</v>
      </c>
      <c r="B4" s="5">
        <v>0</v>
      </c>
      <c r="C4" s="5">
        <v>4978828</v>
      </c>
      <c r="D4" s="6">
        <v>0.09981184039667579</v>
      </c>
      <c r="E4" s="7">
        <v>2.112932861432316</v>
      </c>
      <c r="F4" s="7"/>
      <c r="G4" t="s">
        <v>251</v>
      </c>
    </row>
    <row r="5" spans="1:7" x14ac:dyDescent="0.25">
      <c r="A5" t="s">
        <v>12</v>
      </c>
      <c r="B5" s="5">
        <v>3457872</v>
      </c>
      <c r="C5" s="5">
        <v>2325644</v>
      </c>
      <c r="D5" s="6">
        <v>0.1379436712465961</v>
      </c>
      <c r="E5" s="7">
        <v>2.9572031027725414</v>
      </c>
      <c r="F5" s="7">
        <v>1.8178602350092974</v>
      </c>
      <c r="G5" t="s">
        <v>252</v>
      </c>
    </row>
    <row r="6" spans="1:7" x14ac:dyDescent="0.25">
      <c r="A6" t="s">
        <v>83</v>
      </c>
      <c r="B6" s="5">
        <v>4086577</v>
      </c>
      <c r="C6" s="5">
        <v>1832991</v>
      </c>
      <c r="D6" s="6">
        <v>0.1520708095761521</v>
      </c>
      <c r="E6" s="7">
        <v>3.35963224656748</v>
      </c>
      <c r="F6" s="7">
        <v>1.5381894296232517</v>
      </c>
      <c r="G6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2026-09-20T23:18:16Z</dcterms:created>
  <dcterms:modified xsi:type="dcterms:W3CDTF">2026-09-20T23:18:16Z</dcterms:modified>
</cp:coreProperties>
</file>