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Assumptions" state="visible" r:id="rId5"/>
    <sheet sheetId="3" name="Unit Mix" state="visible" r:id="rId6"/>
    <sheet sheetId="4" name="Cost" state="visible" r:id="rId7"/>
    <sheet sheetId="5" name="P&amp;L" state="visible" r:id="rId8"/>
    <sheet sheetId="6" name="Waterfall" state="visible" r:id="rId9"/>
    <sheet sheetId="7" name="Cash Flow" state="visible" r:id="rId10"/>
    <sheet sheetId="8" name="Scenarios" state="visible" r:id="rId11"/>
  </sheets>
  <definedNames>
    <definedName name="occ_stab">Assumptions!$B$4</definedName>
    <definedName name="occ_y1">Assumptions!$B$5</definedName>
    <definedName name="occ_y2">Assumptions!$B$6</definedName>
    <definedName name="occ_ramp_years">Assumptions!$B$7</definedName>
    <definedName name="adr_y1f">Assumptions!$B$8</definedName>
    <definedName name="adr_infl">Assumptions!$B$9</definedName>
    <definedName name="iva">Assumptions!$B$10</definedName>
    <definedName name="alos">Assumptions!$B$11</definedName>
    <definedName name="comm_pct">Assumptions!$B$12</definedName>
    <definedName name="mgmt_pct">Assumptions!$B$13</definedName>
    <definedName name="admin_m">Assumptions!$B$14</definedName>
    <definedName name="util_m">Assumptions!$B$15</definedName>
    <definedName name="mtr_util_m">Assumptions!$B$16</definedName>
    <definedName name="mtr_mgmt_p">Assumptions!$B$17</definedName>
    <definedName name="mtr_maint_p">Assumptions!$B$18</definedName>
    <definedName name="mtr_rinfl">Assumptions!$B$19</definedName>
    <definedName name="hk_hours">Assumptions!$B$20</definedName>
    <definedName name="hk_rate">Assumptions!$B$21</definedName>
    <definedName name="linen_t">Assumptions!$B$22</definedName>
    <definedName name="amen_t">Assumptions!$B$23</definedName>
    <definedName name="commu_m">Assumptions!$B$24</definedName>
    <definedName name="ibi_a">Assumptions!$B$25</definedName>
    <definedName name="maint_pct">Assumptions!$B$26</definedName>
    <definedName name="it_m">Assumptions!$B$27</definedName>
    <definedName name="ins_m">Assumptions!$B$28</definedName>
    <definedName name="ffe_pct">Assumptions!$B$29</definedName>
    <definedName name="cost_infl">Assumptions!$B$30</definedName>
    <definedName name="anc_a">Assumptions!$B$31</definedName>
    <definedName name="cap">Assumptions!$B$32</definedName>
    <definedName name="sell_pct">Assumptions!$B$33</definedName>
    <definedName name="gp_pct">Assumptions!$B$34</definedName>
    <definedName name="tier_1">Assumptions!$B$35</definedName>
    <definedName name="tier_2">Assumptions!$B$36</definedName>
    <definedName name="split_1">Assumptions!$B$37</definedName>
    <definedName name="split_2">Assumptions!$B$38</definedName>
    <definedName name="split_3">Assumptions!$B$39</definedName>
    <definedName name="exit_lp">Assumptions!$B$40</definedName>
    <definedName name="pref_irr">Assumptions!$B$41</definedName>
    <definedName name="hurdle_irr">Assumptions!$B$42</definedName>
    <definedName name="split_pref">Assumptions!$B$43</definedName>
    <definedName name="split_hurdle">Assumptions!$B$44</definedName>
    <definedName name="ltv">Assumptions!$C$47</definedName>
    <definedName name="rate">Assumptions!$C$48</definedName>
    <definedName name="term">Assumptions!$C$49</definedName>
    <definedName name="grace">Assumptions!$C$50</definedName>
    <definedName name="apertura_pct">Assumptions!$C$51</definedName>
    <definedName name="ajdm_pct">Assumptions!$C$52</definedName>
    <definedName name="tasacion_u">Assumptions!$C$53</definedName>
    <definedName name="notaria_pct">Assumptions!$C$54</definedName>
    <definedName name="registro_pct">Assumptions!$C$55</definedName>
    <definedName name="gestoria_f">Assumptions!$C$56</definedName>
    <definedName name="vat_works">Assumptions!$B$66</definedName>
    <definedName name="vat_ffe">Assumptions!$B$67</definedName>
    <definedName name="vat_soft">Assumptions!$B$68</definedName>
    <definedName name="vat_fees">Assumptions!$B$69</definedName>
    <definedName name="vat_months">Assumptions!$B$70</definedName>
    <definedName name="unit_n">'Unit Mix'!$B$55</definedName>
    <definedName name="blended_incl">'Unit Mix'!$B$56</definedName>
    <definedName name="clean_base">'Unit Mix'!$B$57</definedName>
    <definedName name="anc_units">'Unit Mix'!$B$58</definedName>
    <definedName name="mtr_n">'Unit Mix'!$B$59</definedName>
    <definedName name="cost_unit_n">'Unit Mix'!$B$60</definedName>
    <definedName name="mtr_rent_a">'Unit Mix'!$B$61</definedName>
    <definedName name="turn_base">'Unit Mix'!$B$62</definedName>
    <definedName name="price">Cost!$B$2</definedName>
    <definedName name="units_c">Cost!$B$3</definedName>
    <definedName name="ajd_pct">Cost!$B$4</definedName>
    <definedName name="itp_pct">Cost!$B$5</definedName>
    <definedName name="broker_pct">Cost!$B$6</definedName>
    <definedName name="dd_pct">Cost!$B$7</definedName>
    <definedName name="notary_f">Cost!$B$8</definedName>
    <definedName name="registry_f">Cost!$B$9</definedName>
    <definedName name="spv_f">Cost!$B$10</definedName>
    <definedName name="taxadv_f">Cost!$B$11</definedName>
    <definedName name="reno_u">Cost!$B$12</definedName>
    <definedName name="appl_u">Cost!$B$13</definedName>
    <definedName name="common_f">Cost!$B$14</definedName>
    <definedName name="deep_f">Cost!$B$15</definedName>
    <definedName name="conting_pct">Cost!$B$16</definedName>
    <definedName name="ffe_u">Cost!$B$17</definedName>
    <definedName name="itl_u">Cost!$B$18</definedName>
    <definedName name="permits_f">Cost!$B$19</definedName>
    <definedName name="arch_f">Cost!$B$20</definedName>
    <definedName name="gp_fee_pct">Cost!$B$21</definedName>
    <definedName name="cost_base">Cost!$B$27</definedName>
    <definedName name="tpc">Cost!$B$29</definedName>
    <definedName name="vat_float">Cost!$B$36</definedName>
    <definedName name="eq_total">Waterfall!$B$5</definedName>
    <definedName name="eq_lp">Waterfall!$B$6</definedName>
    <definedName name="eq_gp">Waterfall!$B$7</definedName>
  </definedNames>
  <calcPr calcId="171027"/>
</workbook>
</file>

<file path=xl/sharedStrings.xml><?xml version="1.0" encoding="utf-8"?>
<sst xmlns="http://schemas.openxmlformats.org/spreadsheetml/2006/main" count="468" uniqueCount="248">
  <si>
    <t>Soho 8 — Marisol Patrimonio SL</t>
  </si>
  <si>
    <t>Everything here is a reference into the tabs behind it. Change an input on Assumptions and this page moves with it.</t>
  </si>
  <si>
    <t>Figures are the reporting scenario. The Scenarios tab lists the alternatives as modelled.</t>
  </si>
  <si>
    <t>THE PROJECT</t>
  </si>
  <si>
    <t>Units</t>
  </si>
  <si>
    <t>Purchase price</t>
  </si>
  <si>
    <t>Total project cost</t>
  </si>
  <si>
    <t>Cost per unit</t>
  </si>
  <si>
    <t>Stabilised NOI</t>
  </si>
  <si>
    <t>Yield on cost</t>
  </si>
  <si>
    <t>FINANCING</t>
  </si>
  <si>
    <t>Structure</t>
  </si>
  <si>
    <t>50% LTV</t>
  </si>
  <si>
    <t>Loan</t>
  </si>
  <si>
    <t>Loan to cost</t>
  </si>
  <si>
    <t>Debt setup costs</t>
  </si>
  <si>
    <t>Total equity</t>
  </si>
  <si>
    <t>VAT fronted (recoverable)</t>
  </si>
  <si>
    <t>Peak equity (incl. VAT)</t>
  </si>
  <si>
    <t>LP equity</t>
  </si>
  <si>
    <t>GP equity</t>
  </si>
  <si>
    <t>Annual debt service</t>
  </si>
  <si>
    <t>DSCR (stabilised)</t>
  </si>
  <si>
    <t>EXIT</t>
  </si>
  <si>
    <t>Hold (years)</t>
  </si>
  <si>
    <t>Exit cap rate</t>
  </si>
  <si>
    <t>Gross sale price</t>
  </si>
  <si>
    <t>Selling costs</t>
  </si>
  <si>
    <t>Loan balance repaid</t>
  </si>
  <si>
    <t>Net sale proceeds</t>
  </si>
  <si>
    <t>LP RETURN</t>
  </si>
  <si>
    <t>LP IRR</t>
  </si>
  <si>
    <t>LP equity multiple</t>
  </si>
  <si>
    <t>Total cash to LP</t>
  </si>
  <si>
    <t>LP average yield on equity</t>
  </si>
  <si>
    <t>LP IRR after VAT float</t>
  </si>
  <si>
    <t>GP</t>
  </si>
  <si>
    <t>Total cash to GP</t>
  </si>
  <si>
    <t>GP equity multiple</t>
  </si>
  <si>
    <t>Yellow cells are inputs. Every other cell in this workbook is a formula — change an input and the model recomputes.</t>
  </si>
  <si>
    <t>Stabilised occupancy</t>
  </si>
  <si>
    <t>Occupancy Y1 (ramp)</t>
  </si>
  <si>
    <t>Occupancy Y2 (ramp)</t>
  </si>
  <si>
    <t>Stabilised from year</t>
  </si>
  <si>
    <t>Y1 ADR launch factor</t>
  </si>
  <si>
    <t>ADR inflation (from Y3)</t>
  </si>
  <si>
    <t>IVA on accommodation</t>
  </si>
  <si>
    <t>Average length of stay (nights)</t>
  </si>
  <si>
    <t>Platform commission (% gross)</t>
  </si>
  <si>
    <t>Management fee (% total operating revenue)</t>
  </si>
  <si>
    <t>Admin, monthly</t>
  </si>
  <si>
    <t>Utilities / unit / month</t>
  </si>
  <si>
    <t>Utilities / mid-term unit / month</t>
  </si>
  <si>
    <t>Management fee (% mid-term rent)</t>
  </si>
  <si>
    <t>Maintenance (% mid-term rent)</t>
  </si>
  <si>
    <t>Mid-term rent inflation</t>
  </si>
  <si>
    <t>Cleaner hours / turnover</t>
  </si>
  <si>
    <t>Cleaner hourly rate, all in</t>
  </si>
  <si>
    <t>Linen / turnover</t>
  </si>
  <si>
    <t>Amenities / turnover</t>
  </si>
  <si>
    <t>Community / unit / month</t>
  </si>
  <si>
    <t>IBI, annual</t>
  </si>
  <si>
    <t>Maintenance (% total operating revenue)</t>
  </si>
  <si>
    <t>IT / unit / month</t>
  </si>
  <si>
    <t>Insurance / unit / month</t>
  </si>
  <si>
    <t>FF&amp;E reserve (% total operating revenue)</t>
  </si>
  <si>
    <t>Cost inflation</t>
  </si>
  <si>
    <t>Ancillary net, annual</t>
  </si>
  <si>
    <t>Selling costs (% gross exit)</t>
  </si>
  <si>
    <t>GP share of equity</t>
  </si>
  <si>
    <t>Tier 1 threshold (LP RoE)</t>
  </si>
  <si>
    <t>Tier 2 threshold (LP RoE)</t>
  </si>
  <si>
    <t>LP split, tier 1</t>
  </si>
  <si>
    <t>LP split, tier 2</t>
  </si>
  <si>
    <t>LP split, tier 3</t>
  </si>
  <si>
    <t>LP share of exit gain</t>
  </si>
  <si>
    <t>Preferred return (LP IRR)</t>
  </si>
  <si>
    <t>Hurdle (LP IRR)</t>
  </si>
  <si>
    <t>LP split, pref to hurdle</t>
  </si>
  <si>
    <t>LP split, above hurdle</t>
  </si>
  <si>
    <t>FINANCING — every structure, side by side</t>
  </si>
  <si>
    <t>No debt</t>
  </si>
  <si>
    <t>50% LTV  ←</t>
  </si>
  <si>
    <t>65% LTV</t>
  </si>
  <si>
    <t>LTV (% of TPC)</t>
  </si>
  <si>
    <t>All-in rate (euribor + spread)</t>
  </si>
  <si>
    <t>Term (years)</t>
  </si>
  <si>
    <t>Grace (months)</t>
  </si>
  <si>
    <t>Apertura (% loan)</t>
  </si>
  <si>
    <t>AJD on mortgage (% loan)</t>
  </si>
  <si>
    <t>Tasación / unit</t>
  </si>
  <si>
    <t>Notaría (% loan)</t>
  </si>
  <si>
    <t>Registro (% loan)</t>
  </si>
  <si>
    <t>Gestoría, fixed</t>
  </si>
  <si>
    <t>RECOVERABLE VAT — the float, not a cost</t>
  </si>
  <si>
    <t>IVA on works (%)</t>
  </si>
  <si>
    <t>IVA on FF&amp;E (%)</t>
  </si>
  <si>
    <t>IVA on soft costs (%)</t>
  </si>
  <si>
    <t>IVA on fees (%)</t>
  </si>
  <si>
    <t>Months until reclaimed</t>
  </si>
  <si>
    <t>Unit</t>
  </si>
  <si>
    <t>Kind</t>
  </si>
  <si>
    <t>ADR incl IVA</t>
  </si>
  <si>
    <t>Occupancy</t>
  </si>
  <si>
    <t>Cleaning fee incl IVA</t>
  </si>
  <si>
    <t>Monthly income</t>
  </si>
  <si>
    <t>Studio · short-let</t>
  </si>
  <si>
    <t>STR</t>
  </si>
  <si>
    <t>1-bed · short-let</t>
  </si>
  <si>
    <t>2-bed · short-let</t>
  </si>
  <si>
    <t>1-bed · mid-term</t>
  </si>
  <si>
    <t>MTR</t>
  </si>
  <si>
    <t>2-bed · mid-term</t>
  </si>
  <si>
    <t>STR units</t>
  </si>
  <si>
    <t>Blended ADR incl IVA (occ-weighted)</t>
  </si>
  <si>
    <t>Cleaning revenue base (stabilised, ex IVA)</t>
  </si>
  <si>
    <t>Ancillary unit income, annual</t>
  </si>
  <si>
    <t>Mid-term units</t>
  </si>
  <si>
    <t>Units carrying per-unit costs</t>
  </si>
  <si>
    <t>Mid-term rent, annual</t>
  </si>
  <si>
    <t>Turnovers at stabilised occupancy</t>
  </si>
  <si>
    <t>Tax regime: ITP / AJD (IVA is recoverable and never enters the cost base)</t>
  </si>
  <si>
    <t>Units (cost basis)</t>
  </si>
  <si>
    <t>AJD %</t>
  </si>
  <si>
    <t>ITP %</t>
  </si>
  <si>
    <t>Broker commission %</t>
  </si>
  <si>
    <t>Due diligence %</t>
  </si>
  <si>
    <t>Notary</t>
  </si>
  <si>
    <t>Registry</t>
  </si>
  <si>
    <t>SPV setup</t>
  </si>
  <si>
    <t>Tax advisory</t>
  </si>
  <si>
    <t>Renovation / unit</t>
  </si>
  <si>
    <t>Appliances / unit</t>
  </si>
  <si>
    <t>Common areas</t>
  </si>
  <si>
    <t>Deep conversion</t>
  </si>
  <si>
    <t>Contingency %</t>
  </si>
  <si>
    <t>FF&amp;E / unit</t>
  </si>
  <si>
    <t>IT &amp; locks / unit</t>
  </si>
  <si>
    <t>Permits &amp; licensing</t>
  </si>
  <si>
    <t>Architect &amp; technical</t>
  </si>
  <si>
    <t>GP setup fee % (of total project cost)</t>
  </si>
  <si>
    <t>Taxes &amp; acquisition costs</t>
  </si>
  <si>
    <t>Renovation (incl contingency)</t>
  </si>
  <si>
    <t>FF&amp;E and tech</t>
  </si>
  <si>
    <t>Soft costs</t>
  </si>
  <si>
    <t>Cost base</t>
  </si>
  <si>
    <t>GP setup fee</t>
  </si>
  <si>
    <t>TOTAL PROJECT COST</t>
  </si>
  <si>
    <t>RECOVERABLE VAT — fronted at close, back in ~12 months</t>
  </si>
  <si>
    <t>IVA on purchase (0%, per regime)</t>
  </si>
  <si>
    <t>IVA on works</t>
  </si>
  <si>
    <t>IVA on FF&amp;E</t>
  </si>
  <si>
    <t>IVA on soft costs</t>
  </si>
  <si>
    <t>IVA on fees</t>
  </si>
  <si>
    <t>VAT FLOAT (recoverable, not in TPC)</t>
  </si>
  <si>
    <t>Ex-IVA throughout (house standard). USALI order. All rows recompute from Assumptions and Unit Mix.</t>
  </si>
  <si>
    <t>Y1</t>
  </si>
  <si>
    <t>Y2</t>
  </si>
  <si>
    <t>Y3</t>
  </si>
  <si>
    <t>Y4</t>
  </si>
  <si>
    <t>Y5</t>
  </si>
  <si>
    <t>Y6</t>
  </si>
  <si>
    <t>Y7</t>
  </si>
  <si>
    <t>Blended ADR ex-IVA</t>
  </si>
  <si>
    <t>Accommodation</t>
  </si>
  <si>
    <t>Cleaning fees</t>
  </si>
  <si>
    <t>Mid-term rent</t>
  </si>
  <si>
    <t>Ancillary income</t>
  </si>
  <si>
    <t>Total operating revenue</t>
  </si>
  <si>
    <t>Platform commission</t>
  </si>
  <si>
    <t>Cleaning</t>
  </si>
  <si>
    <t>Linen</t>
  </si>
  <si>
    <t>Amenities</t>
  </si>
  <si>
    <t>Departmental expenses</t>
  </si>
  <si>
    <t>Admin / accounting</t>
  </si>
  <si>
    <t>Utilities + community</t>
  </si>
  <si>
    <t>Maintenance</t>
  </si>
  <si>
    <t>IT / tech</t>
  </si>
  <si>
    <t>24h remote check-in (per_unit_month)</t>
  </si>
  <si>
    <t>Building manager (fixed_annual)</t>
  </si>
  <si>
    <t>Extended appliance warranty (per_unit_month)</t>
  </si>
  <si>
    <t>Undistributed expenses</t>
  </si>
  <si>
    <t>GOP</t>
  </si>
  <si>
    <t>Management fee — 15,5 % of total operating revenue</t>
  </si>
  <si>
    <t>Management fees</t>
  </si>
  <si>
    <t>Income before non-operating</t>
  </si>
  <si>
    <t>Property tax (IBI)</t>
  </si>
  <si>
    <t>Insurance</t>
  </si>
  <si>
    <t>Non-operating</t>
  </si>
  <si>
    <t>EBITDA</t>
  </si>
  <si>
    <t>FF&amp;E reserve</t>
  </si>
  <si>
    <t>NOI</t>
  </si>
  <si>
    <t>Memo: short-let net revenue</t>
  </si>
  <si>
    <t>Memo: cost inflation factor</t>
  </si>
  <si>
    <t>Memo: NOI before the plan's own lines — the base of a share-of-NOI line</t>
  </si>
  <si>
    <t>Cash live from the P&amp;L and Assumptions; debt is the monthly French schedule (CUMIPMT/CUMPRINC). The promote is whole-life — pro rata to the preferred LP IRR, then split_pref to the hurdle IRR, then split_hurdle — re-measured at every distribution, so the tier rows and the exit split are the engine's numbers as constants.</t>
  </si>
  <si>
    <t>Loan interest</t>
  </si>
  <si>
    <t>Principal repaid</t>
  </si>
  <si>
    <t>Distributable cash</t>
  </si>
  <si>
    <t>Pool (never below zero)</t>
  </si>
  <si>
    <t>Owed to reach the preferred IRR</t>
  </si>
  <si>
    <t>Owed to reach the hurdle IRR</t>
  </si>
  <si>
    <t>LP received, start of year</t>
  </si>
  <si>
    <t>Tier A pool (pro rata)</t>
  </si>
  <si>
    <t>Tier B pool (to the hurdle)</t>
  </si>
  <si>
    <t>Tier C pool (above)</t>
  </si>
  <si>
    <t>LP distribution</t>
  </si>
  <si>
    <t>GP distribution</t>
  </si>
  <si>
    <t>Exit NOI (final year)</t>
  </si>
  <si>
    <t>Gross exit price</t>
  </si>
  <si>
    <t>Loan balance at exit</t>
  </si>
  <si>
    <t>Net proceeds after debt</t>
  </si>
  <si>
    <t>Exit gain over equity</t>
  </si>
  <si>
    <t>LP from exit (through the waterfall)</t>
  </si>
  <si>
    <t>GP from exit</t>
  </si>
  <si>
    <t>LP cash flows (t0 … exit)</t>
  </si>
  <si>
    <t>LP total</t>
  </si>
  <si>
    <t>LP multiple</t>
  </si>
  <si>
    <t>Yield on cost (stabilised)</t>
  </si>
  <si>
    <t>Every structure, one block each — because the offer differs per structure. VAT is fronted at close and reclaimed later; it is funded by equity, so the equity rows carry it and 'Net cash at close' is zero.</t>
  </si>
  <si>
    <t>No debt  ·  cash live, LP/GP split as modelled</t>
  </si>
  <si>
    <t>At close</t>
  </si>
  <si>
    <t>Project cost at close</t>
  </si>
  <si>
    <t>Loan drawn</t>
  </si>
  <si>
    <t>LP equity in (incl. VAT)</t>
  </si>
  <si>
    <t>GP equity in (incl. VAT)</t>
  </si>
  <si>
    <t>Net cash at close</t>
  </si>
  <si>
    <t>Cash flow after debt service</t>
  </si>
  <si>
    <t>VAT paid in year</t>
  </si>
  <si>
    <t>VAT reclaimed</t>
  </si>
  <si>
    <t>Cumulative cash</t>
  </si>
  <si>
    <t>DSCR</t>
  </si>
  <si>
    <t>LP capital and gain at exit</t>
  </si>
  <si>
    <t>GP capital and gain at exit</t>
  </si>
  <si>
    <t>VAT to LP, net of VAT funded</t>
  </si>
  <si>
    <t>VAT to GP, net of VAT funded</t>
  </si>
  <si>
    <t>Total to investors</t>
  </si>
  <si>
    <t>Cash available to equity</t>
  </si>
  <si>
    <t>Cash left undistributed</t>
  </si>
  <si>
    <t>LP net cash flow (after VAT)</t>
  </si>
  <si>
    <t>LP cumulative</t>
  </si>
  <si>
    <t>50% LTV  ← reported  ·  cash live, LP/GP split as modelled</t>
  </si>
  <si>
    <t>65% LTV  ·  cash live, LP/GP split as modelled</t>
  </si>
  <si>
    <t>Every financing structure, as modelled by the app. Cached values — the live tabs recompute the reporting scenario only.</t>
  </si>
  <si>
    <t>Scenario</t>
  </si>
  <si>
    <t>Reporting basis</t>
  </si>
  <si>
    <t/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</si>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</sst>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 &quot;€&quot;"/>
    <numFmt numFmtId="165" formatCode="0.0"/>
    <numFmt numFmtId="166" formatCode="0.000"/>
  </numFmts>
  <fonts count="4" x14ac:knownFonts="1">
    <font>
      <color theme="1"/>
      <family val="2"/>
      <scheme val="minor"/>
      <sz val="11"/>
      <name val="Calibri"/>
    </font>
    <font>
      <b/>
      <sz val="12"/>
    </font>
    <font>
      <i/>
      <sz val="9"/>
    </font>
    <font>
      <b/>
      <sz val="10"/>
    </font>
  </fonts>
  <fills count="3">
    <fill>
      <patternFill patternType="none"/>
    </fill>
    <fill>
      <patternFill patternType="gray125"/>
    </fill>
    <fill>
      <patternFill patternType="solid">
        <fgColor rgb="FF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  <xf numFmtId="10" fontId="0" fillId="0" borderId="0" xfId="0" applyNumberFormat="1"/>
    <xf numFmtId="2" fontId="0" fillId="0" borderId="0" xfId="0" applyNumberFormat="1"/>
    <xf numFmtId="10" fontId="0" fillId="2" borderId="0" xfId="0" applyNumberFormat="1" applyFill="1"/>
    <xf numFmtId="1" fontId="0" fillId="2" borderId="0" xfId="0" applyNumberFormat="1" applyFill="1"/>
    <xf numFmtId="2" fontId="0" fillId="2" borderId="0" xfId="0" applyNumberFormat="1" applyFill="1"/>
    <xf numFmtId="164" fontId="0" fillId="2" borderId="0" xfId="0" applyNumberFormat="1" applyFill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FormatPr defaultRowHeight="15" outlineLevelRow="0" outlineLevelCol="0" x14ac:dyDescent="55"/>
  <cols>
    <col min="1" max="1" width="36" customWidth="1"/>
    <col min="2" max="2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5" spans="1:1" x14ac:dyDescent="0.25">
      <c r="A5" s="3" t="s">
        <v>3</v>
      </c>
    </row>
    <row r="6" spans="1:2" x14ac:dyDescent="0.25">
      <c r="A6" t="s">
        <v>4</v>
      </c>
      <c r="B6" s="4">
        <f>units_c</f>
        <v>52</v>
      </c>
    </row>
    <row r="7" spans="1:2" x14ac:dyDescent="0.25">
      <c r="A7" t="s">
        <v>5</v>
      </c>
      <c r="B7" s="5">
        <f>price</f>
        <v>10400000</v>
      </c>
    </row>
    <row r="8" spans="1:2" x14ac:dyDescent="0.25">
      <c r="A8" t="s">
        <v>6</v>
      </c>
      <c r="B8" s="5">
        <f>tpc</f>
        <v>12603571.42857143</v>
      </c>
    </row>
    <row r="9" spans="1:2" x14ac:dyDescent="0.25">
      <c r="A9" t="s">
        <v>7</v>
      </c>
      <c r="B9" s="5">
        <f>IF(units_c=0,0,tpc/units_c)</f>
        <v>242376.37362637365</v>
      </c>
    </row>
    <row r="10" spans="1:2" x14ac:dyDescent="0.25">
      <c r="A10" t="s">
        <v>8</v>
      </c>
      <c r="B10" s="5">
        <f>'P&amp;L'!E32</f>
        <v>1009218.6265709146</v>
      </c>
    </row>
    <row r="11" spans="1:2" x14ac:dyDescent="0.25">
      <c r="A11" t="s">
        <v>9</v>
      </c>
      <c r="B11" s="6">
        <f>IF(tpc=0,0,B10/tpc)</f>
        <v>0.08007401967692153</v>
      </c>
    </row>
    <row r="13" spans="1:1" x14ac:dyDescent="0.25">
      <c r="A13" s="3" t="s">
        <v>10</v>
      </c>
    </row>
    <row r="14" spans="1:2" x14ac:dyDescent="0.25">
      <c r="A14" t="s">
        <v>11</v>
      </c>
      <c r="B14" t="s">
        <v>12</v>
      </c>
    </row>
    <row r="15" spans="1:2" x14ac:dyDescent="0.25">
      <c r="A15" t="s">
        <v>13</v>
      </c>
      <c r="B15" s="5">
        <f>Waterfall!B3</f>
        <v>6301785.714285715</v>
      </c>
    </row>
    <row r="16" spans="1:2" x14ac:dyDescent="0.25">
      <c r="A16" t="s">
        <v>14</v>
      </c>
      <c r="B16" s="6">
        <f>IF(tpc=0,0,B15/tpc)</f>
        <v>0.5</v>
      </c>
    </row>
    <row r="17" spans="1:2" x14ac:dyDescent="0.25">
      <c r="A17" t="s">
        <v>15</v>
      </c>
      <c r="B17" s="5">
        <f>Waterfall!B4</f>
        <v>143886.60714285713</v>
      </c>
    </row>
    <row r="18" spans="1:2" x14ac:dyDescent="0.25">
      <c r="A18" t="s">
        <v>16</v>
      </c>
      <c r="B18" s="5">
        <f>eq_total</f>
        <v>6445672.321428572</v>
      </c>
    </row>
    <row r="19" spans="1:2" x14ac:dyDescent="0.25">
      <c r="A19" t="s">
        <v>17</v>
      </c>
      <c r="B19" s="5">
        <f>vat_float</f>
        <v>262395</v>
      </c>
    </row>
    <row r="20" spans="1:2" x14ac:dyDescent="0.25">
      <c r="A20" t="s">
        <v>18</v>
      </c>
      <c r="B20" s="5">
        <f>eq_total+vat_float</f>
        <v>6708067.321428572</v>
      </c>
    </row>
    <row r="21" spans="1:2" x14ac:dyDescent="0.25">
      <c r="A21" t="s">
        <v>19</v>
      </c>
      <c r="B21" s="5">
        <f>eq_lp</f>
        <v>5156537.857142858</v>
      </c>
    </row>
    <row r="22" spans="1:2" x14ac:dyDescent="0.25">
      <c r="A22" t="s">
        <v>20</v>
      </c>
      <c r="B22" s="5">
        <f>eq_gp</f>
        <v>1289134.4642857146</v>
      </c>
    </row>
    <row r="23" spans="1:2" x14ac:dyDescent="0.25">
      <c r="A23" t="s">
        <v>21</v>
      </c>
      <c r="B23" s="5">
        <f>Waterfall!B8</f>
        <v>513183.37681638345</v>
      </c>
    </row>
    <row r="24" spans="1:2" x14ac:dyDescent="0.25">
      <c r="A24" t="s">
        <v>22</v>
      </c>
      <c r="B24" s="7">
        <f>IF(Waterfall!B8=0,0,B10/Waterfall!B8)</f>
        <v>1.9665847963193324</v>
      </c>
    </row>
    <row r="26" spans="1:1" x14ac:dyDescent="0.25">
      <c r="A26" s="3" t="s">
        <v>23</v>
      </c>
    </row>
    <row r="27" spans="1:2" x14ac:dyDescent="0.25">
      <c r="A27" t="s">
        <v>24</v>
      </c>
      <c r="B27" s="4">
        <v>7</v>
      </c>
    </row>
    <row r="28" spans="1:2" x14ac:dyDescent="0.25">
      <c r="A28" t="s">
        <v>25</v>
      </c>
      <c r="B28" s="6">
        <f>cap</f>
        <v>0.07</v>
      </c>
    </row>
    <row r="29" spans="1:2" x14ac:dyDescent="0.25">
      <c r="A29" t="s">
        <v>26</v>
      </c>
      <c r="B29" s="5">
        <f>Waterfall!B26</f>
        <v>15497113.293012813</v>
      </c>
    </row>
    <row r="30" spans="1:2" x14ac:dyDescent="0.25">
      <c r="A30" t="s">
        <v>27</v>
      </c>
      <c r="B30" s="5">
        <f>Waterfall!B27</f>
        <v>-309942.2658602563</v>
      </c>
    </row>
    <row r="31" spans="1:2" x14ac:dyDescent="0.25">
      <c r="A31" t="s">
        <v>28</v>
      </c>
      <c r="B31" s="5">
        <f>Waterfall!B28</f>
        <v>3681469.003127581</v>
      </c>
    </row>
    <row r="32" spans="1:2" x14ac:dyDescent="0.25">
      <c r="A32" t="s">
        <v>29</v>
      </c>
      <c r="B32" s="5">
        <f>Waterfall!B29</f>
        <v>11505702.024024976</v>
      </c>
    </row>
    <row r="34" spans="1:1" x14ac:dyDescent="0.25">
      <c r="A34" s="3" t="s">
        <v>30</v>
      </c>
    </row>
    <row r="35" spans="1:2" x14ac:dyDescent="0.25">
      <c r="A35" t="s">
        <v>31</v>
      </c>
      <c r="B35" s="6">
        <f>Waterfall!B36</f>
        <v>0.13631682197276268</v>
      </c>
    </row>
    <row r="36" spans="1:2" x14ac:dyDescent="0.25">
      <c r="A36" t="s">
        <v>32</v>
      </c>
      <c r="B36" s="7">
        <f>Waterfall!B38</f>
        <v>2.1966082762657937</v>
      </c>
    </row>
    <row r="37" spans="1:2" x14ac:dyDescent="0.25">
      <c r="A37" t="s">
        <v>33</v>
      </c>
      <c r="B37" s="5">
        <f>Waterfall!B37</f>
        <v>11326893.733877882</v>
      </c>
    </row>
    <row r="38" spans="1:2" x14ac:dyDescent="0.25">
      <c r="A38" t="s">
        <v>34</v>
      </c>
      <c r="B38" s="6">
        <f>IF(eq_lp=0,0,AVERAGE(Waterfall!C22:I22)/eq_lp)</f>
        <v>0.07682066369471556</v>
      </c>
    </row>
    <row r="39" spans="1:2" x14ac:dyDescent="0.25">
      <c r="A39" t="s">
        <v>35</v>
      </c>
      <c r="B39" s="6">
        <f>IRR('Cash Flow'!B77:'Cash Flow'!I77)</f>
        <v>0.13539432173003121</v>
      </c>
    </row>
    <row r="41" spans="1:1" x14ac:dyDescent="0.25">
      <c r="A41" s="3" t="s">
        <v>36</v>
      </c>
    </row>
    <row r="42" spans="1:2" x14ac:dyDescent="0.25">
      <c r="A42" t="s">
        <v>37</v>
      </c>
      <c r="B42" s="5">
        <f>SUM(Waterfall!C23:I23)+Waterfall!B32</f>
        <v>3644934.069982701</v>
      </c>
    </row>
    <row r="43" spans="1:2" x14ac:dyDescent="0.25">
      <c r="A43" t="s">
        <v>38</v>
      </c>
      <c r="B43" s="7">
        <f>IF(eq_gp=0,0,B42/eq_gp)</f>
        <v>2.8274273715909777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FormatPr defaultRowHeight="15" outlineLevelRow="0" outlineLevelCol="0" x14ac:dyDescent="55"/>
  <cols>
    <col min="1" max="1" width="34" customWidth="1"/>
    <col min="2" max="4" width="16" customWidth="1"/>
  </cols>
  <sheetData>
    <row r="1" spans="1:1" x14ac:dyDescent="0.25">
      <c r="A1" s="1" t="s">
        <v>0</v>
      </c>
    </row>
    <row r="2" spans="1:1" x14ac:dyDescent="0.25">
      <c r="A2" s="2" t="s">
        <v>39</v>
      </c>
    </row>
    <row r="4" spans="1:2" x14ac:dyDescent="0.25">
      <c r="A4" t="s">
        <v>40</v>
      </c>
      <c r="B4" s="8">
        <v>0.8199991232876712</v>
      </c>
    </row>
    <row r="5" spans="1:2" x14ac:dyDescent="0.25">
      <c r="A5" t="s">
        <v>41</v>
      </c>
      <c r="B5" s="8">
        <v>0.76</v>
      </c>
    </row>
    <row r="6" spans="1:2" x14ac:dyDescent="0.25">
      <c r="A6" t="s">
        <v>42</v>
      </c>
      <c r="B6" s="8">
        <v>0.79</v>
      </c>
    </row>
    <row r="7" spans="1:2" x14ac:dyDescent="0.25">
      <c r="A7" t="s">
        <v>43</v>
      </c>
      <c r="B7" s="9">
        <v>3</v>
      </c>
    </row>
    <row r="8" spans="1:2" x14ac:dyDescent="0.25">
      <c r="A8" t="s">
        <v>44</v>
      </c>
      <c r="B8" s="10">
        <v>0.95</v>
      </c>
    </row>
    <row r="9" spans="1:2" x14ac:dyDescent="0.25">
      <c r="A9" t="s">
        <v>45</v>
      </c>
      <c r="B9" s="8">
        <v>0.02</v>
      </c>
    </row>
    <row r="10" spans="1:2" x14ac:dyDescent="0.25">
      <c r="A10" t="s">
        <v>46</v>
      </c>
      <c r="B10" s="8">
        <v>0.1</v>
      </c>
    </row>
    <row r="11" spans="1:2" x14ac:dyDescent="0.25">
      <c r="A11" t="s">
        <v>47</v>
      </c>
      <c r="B11" s="10">
        <v>2.5</v>
      </c>
    </row>
    <row r="12" spans="1:2" x14ac:dyDescent="0.25">
      <c r="A12" t="s">
        <v>48</v>
      </c>
      <c r="B12" s="8">
        <v>0.17</v>
      </c>
    </row>
    <row r="13" spans="1:2" x14ac:dyDescent="0.25">
      <c r="A13" t="s">
        <v>49</v>
      </c>
      <c r="B13" s="8">
        <v>0.155</v>
      </c>
    </row>
    <row r="14" spans="1:2" x14ac:dyDescent="0.25">
      <c r="A14" t="s">
        <v>50</v>
      </c>
      <c r="B14" s="11">
        <v>200</v>
      </c>
    </row>
    <row r="15" spans="1:2" x14ac:dyDescent="0.25">
      <c r="A15" t="s">
        <v>51</v>
      </c>
      <c r="B15" s="11">
        <v>125</v>
      </c>
    </row>
    <row r="16" spans="1:2" x14ac:dyDescent="0.25">
      <c r="A16" t="s">
        <v>52</v>
      </c>
      <c r="B16" s="11">
        <v>0</v>
      </c>
    </row>
    <row r="17" spans="1:2" x14ac:dyDescent="0.25">
      <c r="A17" t="s">
        <v>53</v>
      </c>
      <c r="B17" s="8">
        <v>0.05</v>
      </c>
    </row>
    <row r="18" spans="1:2" x14ac:dyDescent="0.25">
      <c r="A18" t="s">
        <v>54</v>
      </c>
      <c r="B18" s="8">
        <v>0.008</v>
      </c>
    </row>
    <row r="19" spans="1:2" x14ac:dyDescent="0.25">
      <c r="A19" t="s">
        <v>55</v>
      </c>
      <c r="B19" s="8">
        <v>0.02</v>
      </c>
    </row>
    <row r="20" spans="1:2" x14ac:dyDescent="0.25">
      <c r="A20" t="s">
        <v>56</v>
      </c>
      <c r="B20" s="10">
        <v>2</v>
      </c>
    </row>
    <row r="21" spans="1:2" x14ac:dyDescent="0.25">
      <c r="A21" t="s">
        <v>57</v>
      </c>
      <c r="B21" s="11">
        <v>13.5</v>
      </c>
    </row>
    <row r="22" spans="1:2" x14ac:dyDescent="0.25">
      <c r="A22" t="s">
        <v>58</v>
      </c>
      <c r="B22" s="11">
        <v>5</v>
      </c>
    </row>
    <row r="23" spans="1:2" x14ac:dyDescent="0.25">
      <c r="A23" t="s">
        <v>59</v>
      </c>
      <c r="B23" s="11">
        <v>3</v>
      </c>
    </row>
    <row r="24" spans="1:2" x14ac:dyDescent="0.25">
      <c r="A24" t="s">
        <v>60</v>
      </c>
      <c r="B24" s="11">
        <v>12</v>
      </c>
    </row>
    <row r="25" spans="1:2" x14ac:dyDescent="0.25">
      <c r="A25" t="s">
        <v>61</v>
      </c>
      <c r="B25" s="11">
        <v>17100</v>
      </c>
    </row>
    <row r="26" spans="1:2" x14ac:dyDescent="0.25">
      <c r="A26" t="s">
        <v>62</v>
      </c>
      <c r="B26" s="8">
        <v>0.012</v>
      </c>
    </row>
    <row r="27" spans="1:2" x14ac:dyDescent="0.25">
      <c r="A27" t="s">
        <v>63</v>
      </c>
      <c r="B27" s="11">
        <v>40</v>
      </c>
    </row>
    <row r="28" spans="1:2" x14ac:dyDescent="0.25">
      <c r="A28" t="s">
        <v>64</v>
      </c>
      <c r="B28" s="11">
        <v>15</v>
      </c>
    </row>
    <row r="29" spans="1:2" x14ac:dyDescent="0.25">
      <c r="A29" t="s">
        <v>65</v>
      </c>
      <c r="B29" s="8">
        <v>0.025</v>
      </c>
    </row>
    <row r="30" spans="1:2" x14ac:dyDescent="0.25">
      <c r="A30" t="s">
        <v>66</v>
      </c>
      <c r="B30" s="8">
        <v>0.02</v>
      </c>
    </row>
    <row r="31" spans="1:2" x14ac:dyDescent="0.25">
      <c r="A31" t="s">
        <v>67</v>
      </c>
      <c r="B31" s="11">
        <v>0</v>
      </c>
    </row>
    <row r="32" spans="1:2" x14ac:dyDescent="0.25">
      <c r="A32" t="s">
        <v>25</v>
      </c>
      <c r="B32" s="8">
        <v>0.07</v>
      </c>
    </row>
    <row r="33" spans="1:2" x14ac:dyDescent="0.25">
      <c r="A33" t="s">
        <v>68</v>
      </c>
      <c r="B33" s="8">
        <v>0.02</v>
      </c>
    </row>
    <row r="34" spans="1:2" x14ac:dyDescent="0.25">
      <c r="A34" t="s">
        <v>69</v>
      </c>
      <c r="B34" s="8">
        <v>0.2</v>
      </c>
    </row>
    <row r="35" spans="1:2" x14ac:dyDescent="0.25">
      <c r="A35" t="s">
        <v>70</v>
      </c>
      <c r="B35" s="8">
        <v>0.08</v>
      </c>
    </row>
    <row r="36" spans="1:2" x14ac:dyDescent="0.25">
      <c r="A36" t="s">
        <v>71</v>
      </c>
      <c r="B36" s="8">
        <v>0.12</v>
      </c>
    </row>
    <row r="37" spans="1:2" x14ac:dyDescent="0.25">
      <c r="A37" t="s">
        <v>72</v>
      </c>
      <c r="B37" s="8">
        <v>0.8</v>
      </c>
    </row>
    <row r="38" spans="1:2" x14ac:dyDescent="0.25">
      <c r="A38" t="s">
        <v>73</v>
      </c>
      <c r="B38" s="8">
        <v>0.7</v>
      </c>
    </row>
    <row r="39" spans="1:2" x14ac:dyDescent="0.25">
      <c r="A39" t="s">
        <v>74</v>
      </c>
      <c r="B39" s="8">
        <v>0.6</v>
      </c>
    </row>
    <row r="40" spans="1:2" x14ac:dyDescent="0.25">
      <c r="A40" t="s">
        <v>75</v>
      </c>
      <c r="B40" s="8">
        <v>0.8</v>
      </c>
    </row>
    <row r="41" spans="1:2" x14ac:dyDescent="0.25">
      <c r="A41" t="s">
        <v>76</v>
      </c>
      <c r="B41" s="8">
        <v>0.08</v>
      </c>
    </row>
    <row r="42" spans="1:2" x14ac:dyDescent="0.25">
      <c r="A42" t="s">
        <v>77</v>
      </c>
      <c r="B42" s="8">
        <v>0.12</v>
      </c>
    </row>
    <row r="43" spans="1:2" x14ac:dyDescent="0.25">
      <c r="A43" t="s">
        <v>78</v>
      </c>
      <c r="B43" s="8">
        <v>0.7</v>
      </c>
    </row>
    <row r="44" spans="1:2" x14ac:dyDescent="0.25">
      <c r="A44" t="s">
        <v>79</v>
      </c>
      <c r="B44" s="8">
        <v>0.6</v>
      </c>
    </row>
    <row r="45" spans="1:1" x14ac:dyDescent="0.25">
      <c r="A45" s="3" t="s">
        <v>80</v>
      </c>
    </row>
    <row r="46" spans="2:4" x14ac:dyDescent="0.25">
      <c r="B46" s="3" t="s">
        <v>81</v>
      </c>
      <c r="C46" s="3" t="s">
        <v>82</v>
      </c>
      <c r="D46" s="3" t="s">
        <v>83</v>
      </c>
    </row>
    <row r="47" spans="1:4" x14ac:dyDescent="0.25">
      <c r="A47" t="s">
        <v>84</v>
      </c>
      <c r="B47" s="8">
        <v>0</v>
      </c>
      <c r="C47" s="8">
        <v>0.5</v>
      </c>
      <c r="D47" s="8">
        <v>0.65</v>
      </c>
    </row>
    <row r="48" spans="1:4" x14ac:dyDescent="0.25">
      <c r="A48" t="s">
        <v>85</v>
      </c>
      <c r="B48" s="8">
        <v>0.0275</v>
      </c>
      <c r="C48" s="8">
        <v>0.0275</v>
      </c>
      <c r="D48" s="8">
        <v>0.0275</v>
      </c>
    </row>
    <row r="49" spans="1:4" x14ac:dyDescent="0.25">
      <c r="A49" t="s">
        <v>86</v>
      </c>
      <c r="B49" s="9">
        <v>15</v>
      </c>
      <c r="C49" s="9">
        <v>15</v>
      </c>
      <c r="D49" s="9">
        <v>15</v>
      </c>
    </row>
    <row r="50" spans="1:4" x14ac:dyDescent="0.25">
      <c r="A50" t="s">
        <v>87</v>
      </c>
      <c r="B50" s="9">
        <v>0</v>
      </c>
      <c r="C50" s="9">
        <v>0</v>
      </c>
      <c r="D50" s="9">
        <v>0</v>
      </c>
    </row>
    <row r="51" spans="1:4" x14ac:dyDescent="0.25">
      <c r="A51" t="s">
        <v>88</v>
      </c>
      <c r="B51" s="8">
        <v>0.01</v>
      </c>
      <c r="C51" s="8">
        <v>0.01</v>
      </c>
      <c r="D51" s="8">
        <v>0.01</v>
      </c>
    </row>
    <row r="52" spans="1:4" x14ac:dyDescent="0.25">
      <c r="A52" t="s">
        <v>89</v>
      </c>
      <c r="B52" s="8">
        <v>0.0075</v>
      </c>
      <c r="C52" s="8">
        <v>0.0075</v>
      </c>
      <c r="D52" s="8">
        <v>0.0075</v>
      </c>
    </row>
    <row r="53" spans="1:4" x14ac:dyDescent="0.25">
      <c r="A53" t="s">
        <v>90</v>
      </c>
      <c r="B53" s="11">
        <v>275</v>
      </c>
      <c r="C53" s="11">
        <v>275</v>
      </c>
      <c r="D53" s="11">
        <v>275</v>
      </c>
    </row>
    <row r="54" spans="1:4" x14ac:dyDescent="0.25">
      <c r="A54" t="s">
        <v>91</v>
      </c>
      <c r="B54" s="8">
        <v>0.002</v>
      </c>
      <c r="C54" s="8">
        <v>0.002</v>
      </c>
      <c r="D54" s="8">
        <v>0.002</v>
      </c>
    </row>
    <row r="55" spans="1:4" x14ac:dyDescent="0.25">
      <c r="A55" t="s">
        <v>92</v>
      </c>
      <c r="B55" s="8">
        <v>0.001</v>
      </c>
      <c r="C55" s="8">
        <v>0.001</v>
      </c>
      <c r="D55" s="8">
        <v>0.001</v>
      </c>
    </row>
    <row r="56" spans="1:4" x14ac:dyDescent="0.25">
      <c r="A56" t="s">
        <v>93</v>
      </c>
      <c r="B56" s="11">
        <v>400</v>
      </c>
      <c r="C56" s="11">
        <v>400</v>
      </c>
      <c r="D56" s="11">
        <v>400</v>
      </c>
    </row>
    <row r="65" spans="1:1" x14ac:dyDescent="0.25">
      <c r="A65" s="3" t="s">
        <v>94</v>
      </c>
    </row>
    <row r="66" spans="1:2" x14ac:dyDescent="0.25">
      <c r="A66" t="s">
        <v>95</v>
      </c>
      <c r="B66" s="8">
        <v>0.21</v>
      </c>
    </row>
    <row r="67" spans="1:2" x14ac:dyDescent="0.25">
      <c r="A67" t="s">
        <v>96</v>
      </c>
      <c r="B67" s="8">
        <v>0.21</v>
      </c>
    </row>
    <row r="68" spans="1:2" x14ac:dyDescent="0.25">
      <c r="A68" t="s">
        <v>97</v>
      </c>
      <c r="B68" s="8">
        <v>0.21</v>
      </c>
    </row>
    <row r="69" spans="1:2" x14ac:dyDescent="0.25">
      <c r="A69" t="s">
        <v>98</v>
      </c>
      <c r="B69" s="8">
        <v>0.21</v>
      </c>
    </row>
    <row r="70" spans="1:2" x14ac:dyDescent="0.25">
      <c r="A70" t="s">
        <v>99</v>
      </c>
      <c r="B70" s="9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6" width="16" customWidth="1"/>
  </cols>
  <sheetData>
    <row r="1" spans="1:6" x14ac:dyDescent="0.25">
      <c r="A1" s="3" t="s">
        <v>100</v>
      </c>
      <c r="B1" s="3" t="s">
        <v>101</v>
      </c>
      <c r="C1" s="3" t="s">
        <v>102</v>
      </c>
      <c r="D1" s="3" t="s">
        <v>103</v>
      </c>
      <c r="E1" s="3" t="s">
        <v>104</v>
      </c>
      <c r="F1" s="3" t="s">
        <v>105</v>
      </c>
    </row>
    <row r="2" spans="1:6" x14ac:dyDescent="0.25">
      <c r="A2" t="s">
        <v>106</v>
      </c>
      <c r="B2" t="s">
        <v>107</v>
      </c>
      <c r="C2" s="11">
        <v>137.9998314555498</v>
      </c>
      <c r="D2" s="8">
        <v>0.8199991232876713</v>
      </c>
      <c r="E2" s="11">
        <v>35</v>
      </c>
      <c r="F2" s="11">
        <v>0</v>
      </c>
    </row>
    <row r="3" spans="1:6" x14ac:dyDescent="0.25">
      <c r="A3" t="s">
        <v>106</v>
      </c>
      <c r="B3" t="s">
        <v>107</v>
      </c>
      <c r="C3" s="11">
        <v>137.9998314555498</v>
      </c>
      <c r="D3" s="8">
        <v>0.8199991232876713</v>
      </c>
      <c r="E3" s="11">
        <v>35</v>
      </c>
      <c r="F3" s="11">
        <v>0</v>
      </c>
    </row>
    <row r="4" spans="1:6" x14ac:dyDescent="0.25">
      <c r="A4" t="s">
        <v>106</v>
      </c>
      <c r="B4" t="s">
        <v>107</v>
      </c>
      <c r="C4" s="11">
        <v>137.9998314555498</v>
      </c>
      <c r="D4" s="8">
        <v>0.8199991232876713</v>
      </c>
      <c r="E4" s="11">
        <v>35</v>
      </c>
      <c r="F4" s="11">
        <v>0</v>
      </c>
    </row>
    <row r="5" spans="1:6" x14ac:dyDescent="0.25">
      <c r="A5" t="s">
        <v>106</v>
      </c>
      <c r="B5" t="s">
        <v>107</v>
      </c>
      <c r="C5" s="11">
        <v>137.9998314555498</v>
      </c>
      <c r="D5" s="8">
        <v>0.8199991232876713</v>
      </c>
      <c r="E5" s="11">
        <v>35</v>
      </c>
      <c r="F5" s="11">
        <v>0</v>
      </c>
    </row>
    <row r="6" spans="1:6" x14ac:dyDescent="0.25">
      <c r="A6" t="s">
        <v>106</v>
      </c>
      <c r="B6" t="s">
        <v>107</v>
      </c>
      <c r="C6" s="11">
        <v>137.9998314555498</v>
      </c>
      <c r="D6" s="8">
        <v>0.8199991232876713</v>
      </c>
      <c r="E6" s="11">
        <v>35</v>
      </c>
      <c r="F6" s="11">
        <v>0</v>
      </c>
    </row>
    <row r="7" spans="1:6" x14ac:dyDescent="0.25">
      <c r="A7" t="s">
        <v>106</v>
      </c>
      <c r="B7" t="s">
        <v>107</v>
      </c>
      <c r="C7" s="11">
        <v>137.9998314555498</v>
      </c>
      <c r="D7" s="8">
        <v>0.8199991232876713</v>
      </c>
      <c r="E7" s="11">
        <v>35</v>
      </c>
      <c r="F7" s="11">
        <v>0</v>
      </c>
    </row>
    <row r="8" spans="1:6" x14ac:dyDescent="0.25">
      <c r="A8" t="s">
        <v>106</v>
      </c>
      <c r="B8" t="s">
        <v>107</v>
      </c>
      <c r="C8" s="11">
        <v>137.9998314555498</v>
      </c>
      <c r="D8" s="8">
        <v>0.8199991232876713</v>
      </c>
      <c r="E8" s="11">
        <v>35</v>
      </c>
      <c r="F8" s="11">
        <v>0</v>
      </c>
    </row>
    <row r="9" spans="1:6" x14ac:dyDescent="0.25">
      <c r="A9" t="s">
        <v>106</v>
      </c>
      <c r="B9" t="s">
        <v>107</v>
      </c>
      <c r="C9" s="11">
        <v>137.9998314555498</v>
      </c>
      <c r="D9" s="8">
        <v>0.8199991232876713</v>
      </c>
      <c r="E9" s="11">
        <v>35</v>
      </c>
      <c r="F9" s="11">
        <v>0</v>
      </c>
    </row>
    <row r="10" spans="1:6" x14ac:dyDescent="0.25">
      <c r="A10" t="s">
        <v>106</v>
      </c>
      <c r="B10" t="s">
        <v>107</v>
      </c>
      <c r="C10" s="11">
        <v>137.9998314555498</v>
      </c>
      <c r="D10" s="8">
        <v>0.8199991232876713</v>
      </c>
      <c r="E10" s="11">
        <v>35</v>
      </c>
      <c r="F10" s="11">
        <v>0</v>
      </c>
    </row>
    <row r="11" spans="1:6" x14ac:dyDescent="0.25">
      <c r="A11" t="s">
        <v>106</v>
      </c>
      <c r="B11" t="s">
        <v>107</v>
      </c>
      <c r="C11" s="11">
        <v>137.9998314555498</v>
      </c>
      <c r="D11" s="8">
        <v>0.8199991232876713</v>
      </c>
      <c r="E11" s="11">
        <v>35</v>
      </c>
      <c r="F11" s="11">
        <v>0</v>
      </c>
    </row>
    <row r="12" spans="1:6" x14ac:dyDescent="0.25">
      <c r="A12" t="s">
        <v>106</v>
      </c>
      <c r="B12" t="s">
        <v>107</v>
      </c>
      <c r="C12" s="11">
        <v>137.9998314555498</v>
      </c>
      <c r="D12" s="8">
        <v>0.8199991232876713</v>
      </c>
      <c r="E12" s="11">
        <v>35</v>
      </c>
      <c r="F12" s="11">
        <v>0</v>
      </c>
    </row>
    <row r="13" spans="1:6" x14ac:dyDescent="0.25">
      <c r="A13" t="s">
        <v>106</v>
      </c>
      <c r="B13" t="s">
        <v>107</v>
      </c>
      <c r="C13" s="11">
        <v>137.9998314555498</v>
      </c>
      <c r="D13" s="8">
        <v>0.8199991232876713</v>
      </c>
      <c r="E13" s="11">
        <v>35</v>
      </c>
      <c r="F13" s="11">
        <v>0</v>
      </c>
    </row>
    <row r="14" spans="1:6" x14ac:dyDescent="0.25">
      <c r="A14" t="s">
        <v>106</v>
      </c>
      <c r="B14" t="s">
        <v>107</v>
      </c>
      <c r="C14" s="11">
        <v>137.9998314555498</v>
      </c>
      <c r="D14" s="8">
        <v>0.8199991232876713</v>
      </c>
      <c r="E14" s="11">
        <v>35</v>
      </c>
      <c r="F14" s="11">
        <v>0</v>
      </c>
    </row>
    <row r="15" spans="1:6" x14ac:dyDescent="0.25">
      <c r="A15" t="s">
        <v>106</v>
      </c>
      <c r="B15" t="s">
        <v>107</v>
      </c>
      <c r="C15" s="11">
        <v>137.9998314555498</v>
      </c>
      <c r="D15" s="8">
        <v>0.8199991232876713</v>
      </c>
      <c r="E15" s="11">
        <v>35</v>
      </c>
      <c r="F15" s="11">
        <v>0</v>
      </c>
    </row>
    <row r="16" spans="1:6" x14ac:dyDescent="0.25">
      <c r="A16" t="s">
        <v>108</v>
      </c>
      <c r="B16" t="s">
        <v>107</v>
      </c>
      <c r="C16" s="11">
        <v>168.0005997239957</v>
      </c>
      <c r="D16" s="8">
        <v>0.8199991232876713</v>
      </c>
      <c r="E16" s="11">
        <v>35</v>
      </c>
      <c r="F16" s="11">
        <v>0</v>
      </c>
    </row>
    <row r="17" spans="1:6" x14ac:dyDescent="0.25">
      <c r="A17" t="s">
        <v>108</v>
      </c>
      <c r="B17" t="s">
        <v>107</v>
      </c>
      <c r="C17" s="11">
        <v>168.0005997239957</v>
      </c>
      <c r="D17" s="8">
        <v>0.8199991232876713</v>
      </c>
      <c r="E17" s="11">
        <v>35</v>
      </c>
      <c r="F17" s="11">
        <v>0</v>
      </c>
    </row>
    <row r="18" spans="1:6" x14ac:dyDescent="0.25">
      <c r="A18" t="s">
        <v>108</v>
      </c>
      <c r="B18" t="s">
        <v>107</v>
      </c>
      <c r="C18" s="11">
        <v>168.0005997239957</v>
      </c>
      <c r="D18" s="8">
        <v>0.8199991232876713</v>
      </c>
      <c r="E18" s="11">
        <v>35</v>
      </c>
      <c r="F18" s="11">
        <v>0</v>
      </c>
    </row>
    <row r="19" spans="1:6" x14ac:dyDescent="0.25">
      <c r="A19" t="s">
        <v>108</v>
      </c>
      <c r="B19" t="s">
        <v>107</v>
      </c>
      <c r="C19" s="11">
        <v>168.0005997239957</v>
      </c>
      <c r="D19" s="8">
        <v>0.8199991232876713</v>
      </c>
      <c r="E19" s="11">
        <v>35</v>
      </c>
      <c r="F19" s="11">
        <v>0</v>
      </c>
    </row>
    <row r="20" spans="1:6" x14ac:dyDescent="0.25">
      <c r="A20" t="s">
        <v>108</v>
      </c>
      <c r="B20" t="s">
        <v>107</v>
      </c>
      <c r="C20" s="11">
        <v>168.0005997239957</v>
      </c>
      <c r="D20" s="8">
        <v>0.8199991232876713</v>
      </c>
      <c r="E20" s="11">
        <v>35</v>
      </c>
      <c r="F20" s="11">
        <v>0</v>
      </c>
    </row>
    <row r="21" spans="1:6" x14ac:dyDescent="0.25">
      <c r="A21" t="s">
        <v>108</v>
      </c>
      <c r="B21" t="s">
        <v>107</v>
      </c>
      <c r="C21" s="11">
        <v>168.0005997239957</v>
      </c>
      <c r="D21" s="8">
        <v>0.8199991232876713</v>
      </c>
      <c r="E21" s="11">
        <v>35</v>
      </c>
      <c r="F21" s="11">
        <v>0</v>
      </c>
    </row>
    <row r="22" spans="1:6" x14ac:dyDescent="0.25">
      <c r="A22" t="s">
        <v>108</v>
      </c>
      <c r="B22" t="s">
        <v>107</v>
      </c>
      <c r="C22" s="11">
        <v>168.0005997239957</v>
      </c>
      <c r="D22" s="8">
        <v>0.8199991232876713</v>
      </c>
      <c r="E22" s="11">
        <v>35</v>
      </c>
      <c r="F22" s="11">
        <v>0</v>
      </c>
    </row>
    <row r="23" spans="1:6" x14ac:dyDescent="0.25">
      <c r="A23" t="s">
        <v>108</v>
      </c>
      <c r="B23" t="s">
        <v>107</v>
      </c>
      <c r="C23" s="11">
        <v>168.0005997239957</v>
      </c>
      <c r="D23" s="8">
        <v>0.8199991232876713</v>
      </c>
      <c r="E23" s="11">
        <v>35</v>
      </c>
      <c r="F23" s="11">
        <v>0</v>
      </c>
    </row>
    <row r="24" spans="1:6" x14ac:dyDescent="0.25">
      <c r="A24" t="s">
        <v>108</v>
      </c>
      <c r="B24" t="s">
        <v>107</v>
      </c>
      <c r="C24" s="11">
        <v>168.0005997239957</v>
      </c>
      <c r="D24" s="8">
        <v>0.8199991232876713</v>
      </c>
      <c r="E24" s="11">
        <v>35</v>
      </c>
      <c r="F24" s="11">
        <v>0</v>
      </c>
    </row>
    <row r="25" spans="1:6" x14ac:dyDescent="0.25">
      <c r="A25" t="s">
        <v>108</v>
      </c>
      <c r="B25" t="s">
        <v>107</v>
      </c>
      <c r="C25" s="11">
        <v>168.0005997239957</v>
      </c>
      <c r="D25" s="8">
        <v>0.8199991232876713</v>
      </c>
      <c r="E25" s="11">
        <v>35</v>
      </c>
      <c r="F25" s="11">
        <v>0</v>
      </c>
    </row>
    <row r="26" spans="1:6" x14ac:dyDescent="0.25">
      <c r="A26" t="s">
        <v>108</v>
      </c>
      <c r="B26" t="s">
        <v>107</v>
      </c>
      <c r="C26" s="11">
        <v>168.0005997239957</v>
      </c>
      <c r="D26" s="8">
        <v>0.8199991232876713</v>
      </c>
      <c r="E26" s="11">
        <v>35</v>
      </c>
      <c r="F26" s="11">
        <v>0</v>
      </c>
    </row>
    <row r="27" spans="1:6" x14ac:dyDescent="0.25">
      <c r="A27" t="s">
        <v>108</v>
      </c>
      <c r="B27" t="s">
        <v>107</v>
      </c>
      <c r="C27" s="11">
        <v>168.0005997239957</v>
      </c>
      <c r="D27" s="8">
        <v>0.8199991232876713</v>
      </c>
      <c r="E27" s="11">
        <v>35</v>
      </c>
      <c r="F27" s="11">
        <v>0</v>
      </c>
    </row>
    <row r="28" spans="1:6" x14ac:dyDescent="0.25">
      <c r="A28" t="s">
        <v>108</v>
      </c>
      <c r="B28" t="s">
        <v>107</v>
      </c>
      <c r="C28" s="11">
        <v>168.0005997239957</v>
      </c>
      <c r="D28" s="8">
        <v>0.8199991232876713</v>
      </c>
      <c r="E28" s="11">
        <v>35</v>
      </c>
      <c r="F28" s="11">
        <v>0</v>
      </c>
    </row>
    <row r="29" spans="1:6" x14ac:dyDescent="0.25">
      <c r="A29" t="s">
        <v>108</v>
      </c>
      <c r="B29" t="s">
        <v>107</v>
      </c>
      <c r="C29" s="11">
        <v>168.0005997239957</v>
      </c>
      <c r="D29" s="8">
        <v>0.8199991232876713</v>
      </c>
      <c r="E29" s="11">
        <v>35</v>
      </c>
      <c r="F29" s="11">
        <v>0</v>
      </c>
    </row>
    <row r="30" spans="1:6" x14ac:dyDescent="0.25">
      <c r="A30" t="s">
        <v>108</v>
      </c>
      <c r="B30" t="s">
        <v>107</v>
      </c>
      <c r="C30" s="11">
        <v>168.0005997239957</v>
      </c>
      <c r="D30" s="8">
        <v>0.8199991232876713</v>
      </c>
      <c r="E30" s="11">
        <v>35</v>
      </c>
      <c r="F30" s="11">
        <v>0</v>
      </c>
    </row>
    <row r="31" spans="1:6" x14ac:dyDescent="0.25">
      <c r="A31" t="s">
        <v>108</v>
      </c>
      <c r="B31" t="s">
        <v>107</v>
      </c>
      <c r="C31" s="11">
        <v>168.0005997239957</v>
      </c>
      <c r="D31" s="8">
        <v>0.8199991232876713</v>
      </c>
      <c r="E31" s="11">
        <v>35</v>
      </c>
      <c r="F31" s="11">
        <v>0</v>
      </c>
    </row>
    <row r="32" spans="1:6" x14ac:dyDescent="0.25">
      <c r="A32" t="s">
        <v>109</v>
      </c>
      <c r="B32" t="s">
        <v>107</v>
      </c>
      <c r="C32" s="11">
        <v>209.99824372014027</v>
      </c>
      <c r="D32" s="8">
        <v>0.8199991232876713</v>
      </c>
      <c r="E32" s="11">
        <v>35</v>
      </c>
      <c r="F32" s="11">
        <v>0</v>
      </c>
    </row>
    <row r="33" spans="1:6" x14ac:dyDescent="0.25">
      <c r="A33" t="s">
        <v>109</v>
      </c>
      <c r="B33" t="s">
        <v>107</v>
      </c>
      <c r="C33" s="11">
        <v>209.99824372014027</v>
      </c>
      <c r="D33" s="8">
        <v>0.8199991232876713</v>
      </c>
      <c r="E33" s="11">
        <v>35</v>
      </c>
      <c r="F33" s="11">
        <v>0</v>
      </c>
    </row>
    <row r="34" spans="1:6" x14ac:dyDescent="0.25">
      <c r="A34" t="s">
        <v>109</v>
      </c>
      <c r="B34" t="s">
        <v>107</v>
      </c>
      <c r="C34" s="11">
        <v>209.99824372014027</v>
      </c>
      <c r="D34" s="8">
        <v>0.8199991232876713</v>
      </c>
      <c r="E34" s="11">
        <v>35</v>
      </c>
      <c r="F34" s="11">
        <v>0</v>
      </c>
    </row>
    <row r="35" spans="1:6" x14ac:dyDescent="0.25">
      <c r="A35" t="s">
        <v>109</v>
      </c>
      <c r="B35" t="s">
        <v>107</v>
      </c>
      <c r="C35" s="11">
        <v>209.99824372014027</v>
      </c>
      <c r="D35" s="8">
        <v>0.8199991232876713</v>
      </c>
      <c r="E35" s="11">
        <v>35</v>
      </c>
      <c r="F35" s="11">
        <v>0</v>
      </c>
    </row>
    <row r="36" spans="1:6" x14ac:dyDescent="0.25">
      <c r="A36" t="s">
        <v>109</v>
      </c>
      <c r="B36" t="s">
        <v>107</v>
      </c>
      <c r="C36" s="11">
        <v>209.99824372014027</v>
      </c>
      <c r="D36" s="8">
        <v>0.8199991232876713</v>
      </c>
      <c r="E36" s="11">
        <v>35</v>
      </c>
      <c r="F36" s="11">
        <v>0</v>
      </c>
    </row>
    <row r="37" spans="1:6" x14ac:dyDescent="0.25">
      <c r="A37" t="s">
        <v>109</v>
      </c>
      <c r="B37" t="s">
        <v>107</v>
      </c>
      <c r="C37" s="11">
        <v>209.99824372014027</v>
      </c>
      <c r="D37" s="8">
        <v>0.8199991232876713</v>
      </c>
      <c r="E37" s="11">
        <v>35</v>
      </c>
      <c r="F37" s="11">
        <v>0</v>
      </c>
    </row>
    <row r="38" spans="1:6" x14ac:dyDescent="0.25">
      <c r="A38" t="s">
        <v>109</v>
      </c>
      <c r="B38" t="s">
        <v>107</v>
      </c>
      <c r="C38" s="11">
        <v>209.99824372014027</v>
      </c>
      <c r="D38" s="8">
        <v>0.8199991232876713</v>
      </c>
      <c r="E38" s="11">
        <v>35</v>
      </c>
      <c r="F38" s="11">
        <v>0</v>
      </c>
    </row>
    <row r="39" spans="1:6" x14ac:dyDescent="0.25">
      <c r="A39" t="s">
        <v>109</v>
      </c>
      <c r="B39" t="s">
        <v>107</v>
      </c>
      <c r="C39" s="11">
        <v>209.99824372014027</v>
      </c>
      <c r="D39" s="8">
        <v>0.8199991232876713</v>
      </c>
      <c r="E39" s="11">
        <v>35</v>
      </c>
      <c r="F39" s="11">
        <v>0</v>
      </c>
    </row>
    <row r="40" spans="1:6" x14ac:dyDescent="0.25">
      <c r="A40" t="s">
        <v>110</v>
      </c>
      <c r="B40" t="s">
        <v>111</v>
      </c>
      <c r="C40" s="11">
        <v>0</v>
      </c>
      <c r="D40" s="8">
        <v>0.92</v>
      </c>
      <c r="E40" s="11">
        <v>0</v>
      </c>
      <c r="F40" s="11">
        <v>752.7272727272727</v>
      </c>
    </row>
    <row r="41" spans="1:6" x14ac:dyDescent="0.25">
      <c r="A41" t="s">
        <v>110</v>
      </c>
      <c r="B41" t="s">
        <v>111</v>
      </c>
      <c r="C41" s="11">
        <v>0</v>
      </c>
      <c r="D41" s="8">
        <v>0.92</v>
      </c>
      <c r="E41" s="11">
        <v>0</v>
      </c>
      <c r="F41" s="11">
        <v>752.7272727272727</v>
      </c>
    </row>
    <row r="42" spans="1:6" x14ac:dyDescent="0.25">
      <c r="A42" t="s">
        <v>110</v>
      </c>
      <c r="B42" t="s">
        <v>111</v>
      </c>
      <c r="C42" s="11">
        <v>0</v>
      </c>
      <c r="D42" s="8">
        <v>0.92</v>
      </c>
      <c r="E42" s="11">
        <v>0</v>
      </c>
      <c r="F42" s="11">
        <v>752.7272727272727</v>
      </c>
    </row>
    <row r="43" spans="1:6" x14ac:dyDescent="0.25">
      <c r="A43" t="s">
        <v>110</v>
      </c>
      <c r="B43" t="s">
        <v>111</v>
      </c>
      <c r="C43" s="11">
        <v>0</v>
      </c>
      <c r="D43" s="8">
        <v>0.92</v>
      </c>
      <c r="E43" s="11">
        <v>0</v>
      </c>
      <c r="F43" s="11">
        <v>752.7272727272727</v>
      </c>
    </row>
    <row r="44" spans="1:6" x14ac:dyDescent="0.25">
      <c r="A44" t="s">
        <v>110</v>
      </c>
      <c r="B44" t="s">
        <v>111</v>
      </c>
      <c r="C44" s="11">
        <v>0</v>
      </c>
      <c r="D44" s="8">
        <v>0.92</v>
      </c>
      <c r="E44" s="11">
        <v>0</v>
      </c>
      <c r="F44" s="11">
        <v>752.7272727272727</v>
      </c>
    </row>
    <row r="45" spans="1:6" x14ac:dyDescent="0.25">
      <c r="A45" t="s">
        <v>110</v>
      </c>
      <c r="B45" t="s">
        <v>111</v>
      </c>
      <c r="C45" s="11">
        <v>0</v>
      </c>
      <c r="D45" s="8">
        <v>0.92</v>
      </c>
      <c r="E45" s="11">
        <v>0</v>
      </c>
      <c r="F45" s="11">
        <v>752.7272727272727</v>
      </c>
    </row>
    <row r="46" spans="1:6" x14ac:dyDescent="0.25">
      <c r="A46" t="s">
        <v>110</v>
      </c>
      <c r="B46" t="s">
        <v>111</v>
      </c>
      <c r="C46" s="11">
        <v>0</v>
      </c>
      <c r="D46" s="8">
        <v>0.92</v>
      </c>
      <c r="E46" s="11">
        <v>0</v>
      </c>
      <c r="F46" s="11">
        <v>752.7272727272727</v>
      </c>
    </row>
    <row r="47" spans="1:6" x14ac:dyDescent="0.25">
      <c r="A47" t="s">
        <v>110</v>
      </c>
      <c r="B47" t="s">
        <v>111</v>
      </c>
      <c r="C47" s="11">
        <v>0</v>
      </c>
      <c r="D47" s="8">
        <v>0.92</v>
      </c>
      <c r="E47" s="11">
        <v>0</v>
      </c>
      <c r="F47" s="11">
        <v>752.7272727272727</v>
      </c>
    </row>
    <row r="48" spans="1:6" x14ac:dyDescent="0.25">
      <c r="A48" t="s">
        <v>112</v>
      </c>
      <c r="B48" t="s">
        <v>111</v>
      </c>
      <c r="C48" s="11">
        <v>0</v>
      </c>
      <c r="D48" s="8">
        <v>0.92</v>
      </c>
      <c r="E48" s="11">
        <v>0</v>
      </c>
      <c r="F48" s="11">
        <v>919.9999999999999</v>
      </c>
    </row>
    <row r="49" spans="1:6" x14ac:dyDescent="0.25">
      <c r="A49" t="s">
        <v>112</v>
      </c>
      <c r="B49" t="s">
        <v>111</v>
      </c>
      <c r="C49" s="11">
        <v>0</v>
      </c>
      <c r="D49" s="8">
        <v>0.92</v>
      </c>
      <c r="E49" s="11">
        <v>0</v>
      </c>
      <c r="F49" s="11">
        <v>919.9999999999999</v>
      </c>
    </row>
    <row r="50" spans="1:6" x14ac:dyDescent="0.25">
      <c r="A50" t="s">
        <v>112</v>
      </c>
      <c r="B50" t="s">
        <v>111</v>
      </c>
      <c r="C50" s="11">
        <v>0</v>
      </c>
      <c r="D50" s="8">
        <v>0.92</v>
      </c>
      <c r="E50" s="11">
        <v>0</v>
      </c>
      <c r="F50" s="11">
        <v>919.9999999999999</v>
      </c>
    </row>
    <row r="51" spans="1:6" x14ac:dyDescent="0.25">
      <c r="A51" t="s">
        <v>112</v>
      </c>
      <c r="B51" t="s">
        <v>111</v>
      </c>
      <c r="C51" s="11">
        <v>0</v>
      </c>
      <c r="D51" s="8">
        <v>0.92</v>
      </c>
      <c r="E51" s="11">
        <v>0</v>
      </c>
      <c r="F51" s="11">
        <v>919.9999999999999</v>
      </c>
    </row>
    <row r="52" spans="1:6" x14ac:dyDescent="0.25">
      <c r="A52" t="s">
        <v>112</v>
      </c>
      <c r="B52" t="s">
        <v>111</v>
      </c>
      <c r="C52" s="11">
        <v>0</v>
      </c>
      <c r="D52" s="8">
        <v>0.92</v>
      </c>
      <c r="E52" s="11">
        <v>0</v>
      </c>
      <c r="F52" s="11">
        <v>919.9999999999999</v>
      </c>
    </row>
    <row r="53" spans="1:6" x14ac:dyDescent="0.25">
      <c r="A53" t="s">
        <v>112</v>
      </c>
      <c r="B53" t="s">
        <v>111</v>
      </c>
      <c r="C53" s="11">
        <v>0</v>
      </c>
      <c r="D53" s="8">
        <v>0.92</v>
      </c>
      <c r="E53" s="11">
        <v>0</v>
      </c>
      <c r="F53" s="11">
        <v>919.9999999999999</v>
      </c>
    </row>
    <row r="55" spans="1:2" x14ac:dyDescent="0.25">
      <c r="A55" t="s">
        <v>113</v>
      </c>
      <c r="B55" s="4">
        <f>COUNTIF(B2:B53,"STR")</f>
        <v>38</v>
      </c>
    </row>
    <row r="56" spans="1:2" x14ac:dyDescent="0.25">
      <c r="A56" t="s">
        <v>114</v>
      </c>
      <c r="B56" s="5">
        <f>SUMPRODUCT(C2:C53,D2:D53,--(B2:B53="STR"))/SUMPRODUCT(D2:D53,--(B2:B53="STR"))</f>
        <v>165.78929436112494</v>
      </c>
    </row>
    <row r="57" spans="1:2" x14ac:dyDescent="0.25">
      <c r="A57" t="s">
        <v>115</v>
      </c>
      <c r="B57" s="5">
        <f>SUMPRODUCT(365*D2:D53/alos,E2:E53/(1+iva),--(B2:B53="STR"))</f>
        <v>144752.20887272718</v>
      </c>
    </row>
    <row r="58" spans="1:2" x14ac:dyDescent="0.25">
      <c r="A58" t="s">
        <v>116</v>
      </c>
      <c r="B58" s="5">
        <f>SUMPRODUCT(F2:F53,--(B2:B53&lt;&gt;"STR"),--(B2:B53&lt;&gt;"MTR"))*12</f>
        <v>0</v>
      </c>
    </row>
    <row r="59" spans="1:2" x14ac:dyDescent="0.25">
      <c r="A59" t="s">
        <v>117</v>
      </c>
      <c r="B59" s="4">
        <f>COUNTIF(B2:B53,"MTR")</f>
        <v>14</v>
      </c>
    </row>
    <row r="60" spans="1:2" x14ac:dyDescent="0.25">
      <c r="A60" t="s">
        <v>118</v>
      </c>
      <c r="B60" s="4">
        <f>unit_n+mtr_n</f>
        <v>52</v>
      </c>
    </row>
    <row r="61" spans="1:2" x14ac:dyDescent="0.25">
      <c r="A61" t="s">
        <v>119</v>
      </c>
      <c r="B61" s="5">
        <f>SUMPRODUCT(F2:F53,--(B2:B53="MTR"))*12</f>
        <v>138501.81818181818</v>
      </c>
    </row>
    <row r="62" spans="1:2" x14ac:dyDescent="0.25">
      <c r="A62" t="s">
        <v>120</v>
      </c>
      <c r="B62" s="12">
        <f>SUMPRODUCT(D2:D53,--(B2:B53="STR"))*365/alos</f>
        <v>4549.355136000002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FormatPr defaultRowHeight="15" outlineLevelRow="0" outlineLevelCol="0" x14ac:dyDescent="55"/>
  <cols>
    <col min="1" max="1" width="34" customWidth="1"/>
    <col min="2" max="2" width="14" customWidth="1"/>
  </cols>
  <sheetData>
    <row r="1" spans="1:1" x14ac:dyDescent="0.25">
      <c r="A1" s="2" t="s">
        <v>121</v>
      </c>
    </row>
    <row r="2" spans="1:2" x14ac:dyDescent="0.25">
      <c r="A2" t="s">
        <v>5</v>
      </c>
      <c r="B2" s="11">
        <v>10400000</v>
      </c>
    </row>
    <row r="3" spans="1:2" x14ac:dyDescent="0.25">
      <c r="A3" t="s">
        <v>122</v>
      </c>
      <c r="B3" s="9">
        <v>52</v>
      </c>
    </row>
    <row r="4" spans="1:2" x14ac:dyDescent="0.25">
      <c r="A4" t="s">
        <v>123</v>
      </c>
      <c r="B4" s="8">
        <v>0.0075</v>
      </c>
    </row>
    <row r="5" spans="1:2" x14ac:dyDescent="0.25">
      <c r="A5" t="s">
        <v>124</v>
      </c>
      <c r="B5" s="8">
        <v>0.06</v>
      </c>
    </row>
    <row r="6" spans="1:2" x14ac:dyDescent="0.25">
      <c r="A6" t="s">
        <v>125</v>
      </c>
      <c r="B6" s="8">
        <v>0.03</v>
      </c>
    </row>
    <row r="7" spans="1:2" x14ac:dyDescent="0.25">
      <c r="A7" t="s">
        <v>126</v>
      </c>
      <c r="B7" s="8">
        <v>0.005</v>
      </c>
    </row>
    <row r="8" spans="1:2" x14ac:dyDescent="0.25">
      <c r="A8" t="s">
        <v>127</v>
      </c>
      <c r="B8" s="11">
        <v>1800</v>
      </c>
    </row>
    <row r="9" spans="1:2" x14ac:dyDescent="0.25">
      <c r="A9" t="s">
        <v>128</v>
      </c>
      <c r="B9" s="11">
        <v>900</v>
      </c>
    </row>
    <row r="10" spans="1:2" x14ac:dyDescent="0.25">
      <c r="A10" t="s">
        <v>129</v>
      </c>
      <c r="B10" s="11">
        <v>3500</v>
      </c>
    </row>
    <row r="11" spans="1:2" x14ac:dyDescent="0.25">
      <c r="A11" t="s">
        <v>130</v>
      </c>
      <c r="B11" s="11">
        <v>2500</v>
      </c>
    </row>
    <row r="12" spans="1:2" x14ac:dyDescent="0.25">
      <c r="A12" t="s">
        <v>131</v>
      </c>
      <c r="B12" s="11">
        <v>0</v>
      </c>
    </row>
    <row r="13" spans="1:2" x14ac:dyDescent="0.25">
      <c r="A13" t="s">
        <v>132</v>
      </c>
      <c r="B13" s="11">
        <v>2000</v>
      </c>
    </row>
    <row r="14" spans="1:2" x14ac:dyDescent="0.25">
      <c r="A14" t="s">
        <v>133</v>
      </c>
      <c r="B14" s="11">
        <v>96000</v>
      </c>
    </row>
    <row r="15" spans="1:2" x14ac:dyDescent="0.25">
      <c r="A15" t="s">
        <v>134</v>
      </c>
      <c r="B15" s="11">
        <v>38000</v>
      </c>
    </row>
    <row r="16" spans="1:2" x14ac:dyDescent="0.25">
      <c r="A16" t="s">
        <v>135</v>
      </c>
      <c r="B16" s="8">
        <v>0</v>
      </c>
    </row>
    <row r="17" spans="1:2" x14ac:dyDescent="0.25">
      <c r="A17" t="s">
        <v>136</v>
      </c>
      <c r="B17" s="11">
        <v>7634.615384615385</v>
      </c>
    </row>
    <row r="18" spans="1:2" x14ac:dyDescent="0.25">
      <c r="A18" t="s">
        <v>137</v>
      </c>
      <c r="B18" s="11">
        <v>1400</v>
      </c>
    </row>
    <row r="19" spans="1:2" x14ac:dyDescent="0.25">
      <c r="A19" t="s">
        <v>138</v>
      </c>
      <c r="B19" s="11">
        <v>73000</v>
      </c>
    </row>
    <row r="20" spans="1:2" x14ac:dyDescent="0.25">
      <c r="A20" t="s">
        <v>139</v>
      </c>
      <c r="B20" s="11">
        <v>74000</v>
      </c>
    </row>
    <row r="21" spans="1:2" x14ac:dyDescent="0.25">
      <c r="A21" t="s">
        <v>140</v>
      </c>
      <c r="B21" s="8">
        <v>0.02</v>
      </c>
    </row>
    <row r="23" spans="1:2" x14ac:dyDescent="0.25">
      <c r="A23" t="s">
        <v>141</v>
      </c>
      <c r="B23" s="5">
        <f>ajd_pct*price+itp_pct*price+broker_pct*price+dd_pct*price+notary_f+registry_f+spv_f+taxadv_f</f>
        <v>1074700</v>
      </c>
    </row>
    <row r="24" spans="1:2" x14ac:dyDescent="0.25">
      <c r="A24" t="s">
        <v>142</v>
      </c>
      <c r="B24" s="5">
        <f>(reno_u*(units_c-1)+appl_u*units_c+common_f+deep_f)*(1+conting_pct)</f>
        <v>238000</v>
      </c>
    </row>
    <row r="25" spans="1:2" x14ac:dyDescent="0.25">
      <c r="A25" t="s">
        <v>143</v>
      </c>
      <c r="B25" s="5">
        <f>(ffe_u+itl_u)*units_c</f>
        <v>469800</v>
      </c>
    </row>
    <row r="26" spans="1:2" x14ac:dyDescent="0.25">
      <c r="A26" t="s">
        <v>144</v>
      </c>
      <c r="B26" s="5">
        <f>permits_f+arch_f</f>
        <v>169000</v>
      </c>
    </row>
    <row r="27" spans="1:2" x14ac:dyDescent="0.25">
      <c r="A27" t="s">
        <v>145</v>
      </c>
      <c r="B27" s="5">
        <f>price+B23+B24+B25+B26</f>
        <v>12351500</v>
      </c>
    </row>
    <row r="28" spans="1:2" x14ac:dyDescent="0.25">
      <c r="A28" t="s">
        <v>146</v>
      </c>
      <c r="B28" s="5">
        <f>gp_fee_pct*cost_base/(1-gp_fee_pct)</f>
        <v>252071.42857142858</v>
      </c>
    </row>
    <row r="29" spans="1:2" x14ac:dyDescent="0.25">
      <c r="A29" s="3" t="s">
        <v>147</v>
      </c>
      <c r="B29" s="5">
        <f>cost_base+B28</f>
        <v>12603571.42857143</v>
      </c>
    </row>
    <row r="30" spans="1:1" x14ac:dyDescent="0.25">
      <c r="A30" s="3" t="s">
        <v>148</v>
      </c>
    </row>
    <row r="31" spans="1:2" x14ac:dyDescent="0.25">
      <c r="A31" t="s">
        <v>149</v>
      </c>
      <c r="B31" s="5">
        <f>0*price</f>
        <v>0</v>
      </c>
    </row>
    <row r="32" spans="1:2" x14ac:dyDescent="0.25">
      <c r="A32" t="s">
        <v>150</v>
      </c>
      <c r="B32" s="5">
        <f>vat_works*B24</f>
        <v>49980</v>
      </c>
    </row>
    <row r="33" spans="1:2" x14ac:dyDescent="0.25">
      <c r="A33" t="s">
        <v>151</v>
      </c>
      <c r="B33" s="5">
        <f>vat_ffe*B25</f>
        <v>98658</v>
      </c>
    </row>
    <row r="34" spans="1:2" x14ac:dyDescent="0.25">
      <c r="A34" t="s">
        <v>152</v>
      </c>
      <c r="B34" s="5">
        <f>vat_soft*B26</f>
        <v>35490</v>
      </c>
    </row>
    <row r="35" spans="1:2" x14ac:dyDescent="0.25">
      <c r="A35" t="s">
        <v>153</v>
      </c>
      <c r="B35" s="5">
        <f>vat_fees*(B23-ajd_pct*price-itp_pct*price)</f>
        <v>78267</v>
      </c>
    </row>
    <row r="36" spans="1:2" x14ac:dyDescent="0.25">
      <c r="A36" s="3" t="s">
        <v>154</v>
      </c>
      <c r="B36" s="5">
        <f>SUM(B31:B35)</f>
        <v>262395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pane xSplit="2" ySplit="2" topLeftCell="C3" activePane="bottomRight" state="frozen"/>
      <selection pane="bottomRight"/>
    </sheetView>
  </sheetViews>
  <sheetFormatPr defaultRowHeight="15" outlineLevelRow="0" outlineLevelCol="0" x14ac:dyDescent="55"/>
  <cols>
    <col min="1" max="1" width="40" customWidth="1"/>
    <col min="3" max="9" width="12" customWidth="1"/>
  </cols>
  <sheetData>
    <row r="1" spans="1:1" x14ac:dyDescent="0.25">
      <c r="A1" s="2" t="s">
        <v>155</v>
      </c>
    </row>
    <row r="2" spans="3:9" x14ac:dyDescent="0.25">
      <c r="C2" s="3" t="s">
        <v>156</v>
      </c>
      <c r="D2" s="3" t="s">
        <v>157</v>
      </c>
      <c r="E2" s="3" t="s">
        <v>158</v>
      </c>
      <c r="F2" s="3" t="s">
        <v>159</v>
      </c>
      <c r="G2" s="3" t="s">
        <v>160</v>
      </c>
      <c r="H2" s="3" t="s">
        <v>161</v>
      </c>
      <c r="I2" s="3" t="s">
        <v>162</v>
      </c>
    </row>
    <row r="3" spans="1:9" x14ac:dyDescent="0.25">
      <c r="A3" t="s">
        <v>103</v>
      </c>
      <c r="C3" s="6">
        <f>occ_y1</f>
        <v>0.76</v>
      </c>
      <c r="D3" s="6">
        <f>occ_y2</f>
        <v>0.79</v>
      </c>
      <c r="E3" s="6">
        <f>occ_stab</f>
        <v>0.8199991232876712</v>
      </c>
      <c r="F3" s="6">
        <f>occ_stab</f>
        <v>0.8199991232876712</v>
      </c>
      <c r="G3" s="6">
        <f>occ_stab</f>
        <v>0.8199991232876712</v>
      </c>
      <c r="H3" s="6">
        <f>occ_stab</f>
        <v>0.8199991232876712</v>
      </c>
      <c r="I3" s="6">
        <f>occ_stab</f>
        <v>0.8199991232876712</v>
      </c>
    </row>
    <row r="4" spans="1:9" x14ac:dyDescent="0.25">
      <c r="A4" t="s">
        <v>163</v>
      </c>
      <c r="C4" s="5">
        <f>blended_incl/(1+iva)*adr_y1f</f>
        <v>143.1816633118806</v>
      </c>
      <c r="D4" s="5">
        <f>blended_incl/(1+iva)</f>
        <v>150.7175403282954</v>
      </c>
      <c r="E4" s="5">
        <f>D4*(1+adr_infl)</f>
        <v>153.7318911348613</v>
      </c>
      <c r="F4" s="5">
        <f>E4*(1+adr_infl)</f>
        <v>156.80652895755856</v>
      </c>
      <c r="G4" s="5">
        <f>F4*(1+adr_infl)</f>
        <v>159.94265953670973</v>
      </c>
      <c r="H4" s="5">
        <f>G4*(1+adr_infl)</f>
        <v>163.1415127274439</v>
      </c>
      <c r="I4" s="5">
        <f>H4*(1+adr_infl)</f>
        <v>166.40434298199278</v>
      </c>
    </row>
    <row r="5" spans="1:9" x14ac:dyDescent="0.25">
      <c r="A5" t="s">
        <v>164</v>
      </c>
      <c r="C5" s="5">
        <f>C3*365*C4*unit_n</f>
        <v>1509306.5493031957</v>
      </c>
      <c r="D5" s="5">
        <f>D3*365*D4*unit_n</f>
        <v>1651457.3046392314</v>
      </c>
      <c r="E5" s="5">
        <f>E3*365*E4*unit_n</f>
        <v>1748452.4212534353</v>
      </c>
      <c r="F5" s="5">
        <f>F3*365*F4*unit_n</f>
        <v>1783421.4696785042</v>
      </c>
      <c r="G5" s="5">
        <f>G3*365*G4*unit_n</f>
        <v>1819089.8990720743</v>
      </c>
      <c r="H5" s="5">
        <f>H3*365*H4*unit_n</f>
        <v>1855471.6970535156</v>
      </c>
      <c r="I5" s="5">
        <f>I3*365*I4*unit_n</f>
        <v>1892581.130994586</v>
      </c>
    </row>
    <row r="6" spans="1:9" x14ac:dyDescent="0.25">
      <c r="A6" t="s">
        <v>165</v>
      </c>
      <c r="C6" s="5">
        <f>clean_base*C3/occ_stab</f>
        <v>134160.72727272718</v>
      </c>
      <c r="D6" s="5">
        <f>clean_base*D3/occ_stab</f>
        <v>139456.54545454538</v>
      </c>
      <c r="E6" s="5">
        <f>clean_base*E3/occ_stab</f>
        <v>144752.20887272718</v>
      </c>
      <c r="F6" s="5">
        <f>clean_base*F3/occ_stab</f>
        <v>144752.20887272718</v>
      </c>
      <c r="G6" s="5">
        <f>clean_base*G3/occ_stab</f>
        <v>144752.20887272718</v>
      </c>
      <c r="H6" s="5">
        <f>clean_base*H3/occ_stab</f>
        <v>144752.20887272718</v>
      </c>
      <c r="I6" s="5">
        <f>clean_base*I3/occ_stab</f>
        <v>144752.20887272718</v>
      </c>
    </row>
    <row r="7" spans="1:9" x14ac:dyDescent="0.25">
      <c r="A7" t="s">
        <v>166</v>
      </c>
      <c r="C7" s="5">
        <f>mtr_rent_a*(1+mtr_rinfl)^MAX(0,1-2)</f>
        <v>138501.81818181818</v>
      </c>
      <c r="D7" s="5">
        <f>mtr_rent_a*(1+mtr_rinfl)^MAX(0,2-2)</f>
        <v>138501.81818181818</v>
      </c>
      <c r="E7" s="5">
        <f>mtr_rent_a*(1+mtr_rinfl)^MAX(0,3-2)</f>
        <v>141271.85454545455</v>
      </c>
      <c r="F7" s="5">
        <f>mtr_rent_a*(1+mtr_rinfl)^MAX(0,4-2)</f>
        <v>144097.29163636363</v>
      </c>
      <c r="G7" s="5">
        <f>mtr_rent_a*(1+mtr_rinfl)^MAX(0,5-2)</f>
        <v>146979.23746909093</v>
      </c>
      <c r="H7" s="5">
        <f>mtr_rent_a*(1+mtr_rinfl)^MAX(0,6-2)</f>
        <v>149918.82221847272</v>
      </c>
      <c r="I7" s="5">
        <f>mtr_rent_a*(1+mtr_rinfl)^MAX(0,7-2)</f>
        <v>152917.1986628422</v>
      </c>
    </row>
    <row r="8" spans="1:9" x14ac:dyDescent="0.25">
      <c r="A8" t="s">
        <v>167</v>
      </c>
      <c r="C8" s="5">
        <f>(anc_a+anc_units)*(1+cost_infl)^MAX(0,1-2)</f>
        <v>0</v>
      </c>
      <c r="D8" s="5">
        <f>(anc_a+anc_units)*(1+cost_infl)^MAX(0,2-2)</f>
        <v>0</v>
      </c>
      <c r="E8" s="5">
        <f>(anc_a+anc_units)*(1+cost_infl)^MAX(0,3-2)</f>
        <v>0</v>
      </c>
      <c r="F8" s="5">
        <f>(anc_a+anc_units)*(1+cost_infl)^MAX(0,4-2)</f>
        <v>0</v>
      </c>
      <c r="G8" s="5">
        <f>(anc_a+anc_units)*(1+cost_infl)^MAX(0,5-2)</f>
        <v>0</v>
      </c>
      <c r="H8" s="5">
        <f>(anc_a+anc_units)*(1+cost_infl)^MAX(0,6-2)</f>
        <v>0</v>
      </c>
      <c r="I8" s="5">
        <f>(anc_a+anc_units)*(1+cost_infl)^MAX(0,7-2)</f>
        <v>0</v>
      </c>
    </row>
    <row r="9" spans="1:9" x14ac:dyDescent="0.25">
      <c r="A9" s="3" t="s">
        <v>168</v>
      </c>
      <c r="C9" s="5">
        <f>C5+C6+C7+C8</f>
        <v>1781969.094757741</v>
      </c>
      <c r="D9" s="5">
        <f>D5+D6+D7+D8</f>
        <v>1929415.668275595</v>
      </c>
      <c r="E9" s="5">
        <f>E5+E6+E7+E8</f>
        <v>2034476.484671617</v>
      </c>
      <c r="F9" s="5">
        <f>F5+F6+F7+F8</f>
        <v>2072270.9701875949</v>
      </c>
      <c r="G9" s="5">
        <f>G5+G6+G7+G8</f>
        <v>2110821.3454138925</v>
      </c>
      <c r="H9" s="5">
        <f>H5+H6+H7+H8</f>
        <v>2150142.7281447155</v>
      </c>
      <c r="I9" s="5">
        <f>I5+I6+I7+I8</f>
        <v>2190250.5385301556</v>
      </c>
    </row>
    <row r="10" spans="1:9" x14ac:dyDescent="0.25">
      <c r="A10" t="s">
        <v>169</v>
      </c>
      <c r="C10" s="5">
        <f>-(C5+C6)*comm_pct</f>
        <v>-279389.4370179069</v>
      </c>
      <c r="D10" s="5">
        <f>-(D5+D6)*comm_pct</f>
        <v>-304455.3545159421</v>
      </c>
      <c r="E10" s="5">
        <f>-(E5+E6)*comm_pct</f>
        <v>-321844.7871214476</v>
      </c>
      <c r="F10" s="5">
        <f>-(F5+F6)*comm_pct</f>
        <v>-327789.52535370935</v>
      </c>
      <c r="G10" s="5">
        <f>-(G5+G6)*comm_pct</f>
        <v>-333853.1583506163</v>
      </c>
      <c r="H10" s="5">
        <f>-(H5+H6)*comm_pct</f>
        <v>-340038.0640074613</v>
      </c>
      <c r="I10" s="5">
        <f>-(I5+I6)*comm_pct</f>
        <v>-346346.66777744325</v>
      </c>
    </row>
    <row r="11" spans="1:9" x14ac:dyDescent="0.25">
      <c r="A11" t="s">
        <v>170</v>
      </c>
      <c r="C11" s="5">
        <f>-turn_base*C3/occ_stab*hk_hours*hk_rate*C35</f>
        <v>-113844.96000000004</v>
      </c>
      <c r="D11" s="5">
        <f>-turn_base*D3/occ_stab*hk_hours*hk_rate*D35</f>
        <v>-120705.61680000006</v>
      </c>
      <c r="E11" s="5">
        <f>-turn_base*E3/occ_stab*hk_hours*hk_rate*E35</f>
        <v>-127795.02525434886</v>
      </c>
      <c r="F11" s="5">
        <f>-turn_base*F3/occ_stab*hk_hours*hk_rate*F35</f>
        <v>-130350.92575943585</v>
      </c>
      <c r="G11" s="5">
        <f>-turn_base*G3/occ_stab*hk_hours*hk_rate*G35</f>
        <v>-132957.94427462455</v>
      </c>
      <c r="H11" s="5">
        <f>-turn_base*H3/occ_stab*hk_hours*hk_rate*H35</f>
        <v>-135617.10316011705</v>
      </c>
      <c r="I11" s="5">
        <f>-turn_base*I3/occ_stab*hk_hours*hk_rate*I35</f>
        <v>-138329.4452233194</v>
      </c>
    </row>
    <row r="12" spans="1:9" x14ac:dyDescent="0.25">
      <c r="A12" t="s">
        <v>171</v>
      </c>
      <c r="C12" s="5">
        <f>-turn_base*C3/occ_stab*linen_t*C35</f>
        <v>-21082.40000000001</v>
      </c>
      <c r="D12" s="5">
        <f>-turn_base*D3/occ_stab*linen_t*D35</f>
        <v>-22352.89200000001</v>
      </c>
      <c r="E12" s="5">
        <f>-turn_base*E3/occ_stab*linen_t*E35</f>
        <v>-23665.74541747201</v>
      </c>
      <c r="F12" s="5">
        <f>-turn_base*F3/occ_stab*linen_t*F35</f>
        <v>-24139.060325821454</v>
      </c>
      <c r="G12" s="5">
        <f>-turn_base*G3/occ_stab*linen_t*G35</f>
        <v>-24621.84153233788</v>
      </c>
      <c r="H12" s="5">
        <f>-turn_base*H3/occ_stab*linen_t*H35</f>
        <v>-25114.278362984638</v>
      </c>
      <c r="I12" s="5">
        <f>-turn_base*I3/occ_stab*linen_t*I35</f>
        <v>-25616.56393024433</v>
      </c>
    </row>
    <row r="13" spans="1:9" x14ac:dyDescent="0.25">
      <c r="A13" t="s">
        <v>172</v>
      </c>
      <c r="C13" s="5">
        <f>-turn_base*C3/occ_stab*amen_t*C35</f>
        <v>-12649.440000000004</v>
      </c>
      <c r="D13" s="5">
        <f>-turn_base*D3/occ_stab*amen_t*D35</f>
        <v>-13411.735200000006</v>
      </c>
      <c r="E13" s="5">
        <f>-turn_base*E3/occ_stab*amen_t*E35</f>
        <v>-14199.447250483207</v>
      </c>
      <c r="F13" s="5">
        <f>-turn_base*F3/occ_stab*amen_t*F35</f>
        <v>-14483.436195492872</v>
      </c>
      <c r="G13" s="5">
        <f>-turn_base*G3/occ_stab*amen_t*G35</f>
        <v>-14773.104919402727</v>
      </c>
      <c r="H13" s="5">
        <f>-turn_base*H3/occ_stab*amen_t*H35</f>
        <v>-15068.567017790783</v>
      </c>
      <c r="I13" s="5">
        <f>-turn_base*I3/occ_stab*amen_t*I35</f>
        <v>-15369.938358146599</v>
      </c>
    </row>
    <row r="14" spans="1:9" x14ac:dyDescent="0.25">
      <c r="A14" s="3" t="s">
        <v>173</v>
      </c>
      <c r="C14" s="5">
        <f>C10+C11+C12+C13</f>
        <v>-426966.23701790697</v>
      </c>
      <c r="D14" s="5">
        <f>D10+D11+D12+D13</f>
        <v>-460925.59851594217</v>
      </c>
      <c r="E14" s="5">
        <f>E10+E11+E12+E13</f>
        <v>-487505.0050437517</v>
      </c>
      <c r="F14" s="5">
        <f>F10+F11+F12+F13</f>
        <v>-496762.94763445953</v>
      </c>
      <c r="G14" s="5">
        <f>G10+G11+G12+G13</f>
        <v>-506206.04907698144</v>
      </c>
      <c r="H14" s="5">
        <f>H10+H11+H12+H13</f>
        <v>-515838.01254835376</v>
      </c>
      <c r="I14" s="5">
        <f>I10+I11+I12+I13</f>
        <v>-525662.6152891535</v>
      </c>
    </row>
    <row r="15" spans="1:9" x14ac:dyDescent="0.25">
      <c r="A15" t="s">
        <v>174</v>
      </c>
      <c r="C15" s="5">
        <f>-admin_m*12*C35</f>
        <v>-2400</v>
      </c>
      <c r="D15" s="5">
        <f>-admin_m*12*D35</f>
        <v>-2448</v>
      </c>
      <c r="E15" s="5">
        <f>-admin_m*12*E35</f>
        <v>-2496.96</v>
      </c>
      <c r="F15" s="5">
        <f>-admin_m*12*F35</f>
        <v>-2546.8992000000003</v>
      </c>
      <c r="G15" s="5">
        <f>-admin_m*12*G35</f>
        <v>-2597.837184</v>
      </c>
      <c r="H15" s="5">
        <f>-admin_m*12*H35</f>
        <v>-2649.7939276800003</v>
      </c>
      <c r="I15" s="5">
        <f>-admin_m*12*I35</f>
        <v>-2702.7898062336003</v>
      </c>
    </row>
    <row r="16" spans="1:9" x14ac:dyDescent="0.25">
      <c r="A16" t="s">
        <v>175</v>
      </c>
      <c r="C16" s="5">
        <f>-(unit_n*util_m+mtr_n*mtr_util_m+cost_unit_n*commu_m)*12*C35</f>
        <v>-64488</v>
      </c>
      <c r="D16" s="5">
        <f>-(unit_n*util_m+mtr_n*mtr_util_m+cost_unit_n*commu_m)*12*D35</f>
        <v>-65777.76</v>
      </c>
      <c r="E16" s="5">
        <f>-(unit_n*util_m+mtr_n*mtr_util_m+cost_unit_n*commu_m)*12*E35</f>
        <v>-67093.3152</v>
      </c>
      <c r="F16" s="5">
        <f>-(unit_n*util_m+mtr_n*mtr_util_m+cost_unit_n*commu_m)*12*F35</f>
        <v>-68435.18150400001</v>
      </c>
      <c r="G16" s="5">
        <f>-(unit_n*util_m+mtr_n*mtr_util_m+cost_unit_n*commu_m)*12*G35</f>
        <v>-69803.88513408</v>
      </c>
      <c r="H16" s="5">
        <f>-(unit_n*util_m+mtr_n*mtr_util_m+cost_unit_n*commu_m)*12*H35</f>
        <v>-71199.9628367616</v>
      </c>
      <c r="I16" s="5">
        <f>-(unit_n*util_m+mtr_n*mtr_util_m+cost_unit_n*commu_m)*12*I35</f>
        <v>-72623.96209349684</v>
      </c>
    </row>
    <row r="17" spans="1:9" x14ac:dyDescent="0.25">
      <c r="A17" t="s">
        <v>176</v>
      </c>
      <c r="C17" s="5">
        <f>-C9*maint_pct</f>
        <v>-21383.629137092892</v>
      </c>
      <c r="D17" s="5">
        <f>-D9*maint_pct</f>
        <v>-23152.98801930714</v>
      </c>
      <c r="E17" s="5">
        <f>-E9*maint_pct</f>
        <v>-24413.717816059405</v>
      </c>
      <c r="F17" s="5">
        <f>-F9*maint_pct</f>
        <v>-24867.25164225114</v>
      </c>
      <c r="G17" s="5">
        <f>-G9*maint_pct</f>
        <v>-25329.85614496671</v>
      </c>
      <c r="H17" s="5">
        <f>-H9*maint_pct</f>
        <v>-25801.712737736587</v>
      </c>
      <c r="I17" s="5">
        <f>-I9*maint_pct</f>
        <v>-26283.006462361867</v>
      </c>
    </row>
    <row r="18" spans="1:9" x14ac:dyDescent="0.25">
      <c r="A18" t="s">
        <v>177</v>
      </c>
      <c r="C18" s="5">
        <f>-cost_unit_n*12*it_m*C35</f>
        <v>-24960</v>
      </c>
      <c r="D18" s="5">
        <f>-cost_unit_n*12*it_m*D35</f>
        <v>-25459.2</v>
      </c>
      <c r="E18" s="5">
        <f>-cost_unit_n*12*it_m*E35</f>
        <v>-25968.384</v>
      </c>
      <c r="F18" s="5">
        <f>-cost_unit_n*12*it_m*F35</f>
        <v>-26487.751680000005</v>
      </c>
      <c r="G18" s="5">
        <f>-cost_unit_n*12*it_m*G35</f>
        <v>-27017.5067136</v>
      </c>
      <c r="H18" s="5">
        <f>-cost_unit_n*12*it_m*H35</f>
        <v>-27557.856847872</v>
      </c>
      <c r="I18" s="5">
        <f>-cost_unit_n*12*it_m*I35</f>
        <v>-28109.013984829442</v>
      </c>
    </row>
    <row r="19" spans="1:9" x14ac:dyDescent="0.25">
      <c r="A19" t="s">
        <v>178</v>
      </c>
      <c r="C19" s="5">
        <f>-9*cost_unit_n*12*C35</f>
        <v>-5616</v>
      </c>
      <c r="D19" s="5">
        <f>-9*cost_unit_n*12*D35</f>
        <v>-5728.32</v>
      </c>
      <c r="E19" s="5">
        <f>-9*cost_unit_n*12*E35</f>
        <v>-5842.8864</v>
      </c>
      <c r="F19" s="5">
        <f>-9*cost_unit_n*12*F35</f>
        <v>-5959.744128000001</v>
      </c>
      <c r="G19" s="5">
        <f>-9*cost_unit_n*12*G35</f>
        <v>-6078.93901056</v>
      </c>
      <c r="H19" s="5">
        <f>-9*cost_unit_n*12*H35</f>
        <v>-6200.5177907712</v>
      </c>
      <c r="I19" s="5">
        <f>-9*cost_unit_n*12*I35</f>
        <v>-6324.528146586625</v>
      </c>
    </row>
    <row r="20" spans="1:9" x14ac:dyDescent="0.25">
      <c r="A20" t="s">
        <v>179</v>
      </c>
      <c r="C20" s="5">
        <f>-15000*C35</f>
        <v>-15000</v>
      </c>
      <c r="D20" s="5">
        <f>-15000*D35</f>
        <v>-15300</v>
      </c>
      <c r="E20" s="5">
        <f>-15000*E35</f>
        <v>-15606</v>
      </c>
      <c r="F20" s="5">
        <f>-15000*F35</f>
        <v>-15918.120000000003</v>
      </c>
      <c r="G20" s="5">
        <f>-15000*G35</f>
        <v>-16236.482399999999</v>
      </c>
      <c r="H20" s="5">
        <f>-15000*H35</f>
        <v>-16561.212048</v>
      </c>
      <c r="I20" s="5">
        <f>-15000*I35</f>
        <v>-16892.43628896</v>
      </c>
    </row>
    <row r="21" spans="1:9" x14ac:dyDescent="0.25">
      <c r="A21" t="s">
        <v>180</v>
      </c>
      <c r="C21" s="5">
        <f>-4*cost_unit_n*12*C35</f>
        <v>-2496</v>
      </c>
      <c r="D21" s="5">
        <f>-4*cost_unit_n*12*D35</f>
        <v>-2545.92</v>
      </c>
      <c r="E21" s="5">
        <f>-4*cost_unit_n*12*E35</f>
        <v>-2596.8384</v>
      </c>
      <c r="F21" s="5">
        <f>-4*cost_unit_n*12*F35</f>
        <v>-2648.7751680000006</v>
      </c>
      <c r="G21" s="5">
        <f>-4*cost_unit_n*12*G35</f>
        <v>-2701.75067136</v>
      </c>
      <c r="H21" s="5">
        <f>-4*cost_unit_n*12*H35</f>
        <v>-2755.7856847872</v>
      </c>
      <c r="I21" s="5">
        <f>-4*cost_unit_n*12*I35</f>
        <v>-2810.9013984829444</v>
      </c>
    </row>
    <row r="22" spans="1:9" x14ac:dyDescent="0.25">
      <c r="A22" s="3" t="s">
        <v>181</v>
      </c>
      <c r="C22" s="5">
        <f>C15+C16+C17+C18+C19+C20+C21</f>
        <v>-136343.6291370929</v>
      </c>
      <c r="D22" s="5">
        <f>D15+D16+D17+D18+D19+D20+D21</f>
        <v>-140412.18801930713</v>
      </c>
      <c r="E22" s="5">
        <f>E15+E16+E17+E18+E19+E20+E21</f>
        <v>-144018.1018160594</v>
      </c>
      <c r="F22" s="5">
        <f>F15+F16+F17+F18+F19+F20+F21</f>
        <v>-146863.72332225114</v>
      </c>
      <c r="G22" s="5">
        <f>G15+G16+G17+G18+G19+G20+G21</f>
        <v>-149766.25725856674</v>
      </c>
      <c r="H22" s="5">
        <f>H15+H16+H17+H18+H19+H20+H21</f>
        <v>-152726.8418736086</v>
      </c>
      <c r="I22" s="5">
        <f>I15+I16+I17+I18+I19+I20+I21</f>
        <v>-155746.63818095133</v>
      </c>
    </row>
    <row r="23" spans="1:9" x14ac:dyDescent="0.25">
      <c r="A23" s="3" t="s">
        <v>182</v>
      </c>
      <c r="C23" s="5">
        <f>C9+C14+C22</f>
        <v>1218659.2286027411</v>
      </c>
      <c r="D23" s="5">
        <f>D9+D14+D22</f>
        <v>1328077.8817403456</v>
      </c>
      <c r="E23" s="5">
        <f>E9+E14+E22</f>
        <v>1402953.3778118056</v>
      </c>
      <c r="F23" s="5">
        <f>F9+F14+F22</f>
        <v>1428644.299230884</v>
      </c>
      <c r="G23" s="5">
        <f>G9+G14+G22</f>
        <v>1454849.0390783444</v>
      </c>
      <c r="H23" s="5">
        <f>H9+H14+H22</f>
        <v>1481577.8737227528</v>
      </c>
      <c r="I23" s="5">
        <f>I9+I14+I22</f>
        <v>1508841.2850600502</v>
      </c>
    </row>
    <row r="24" spans="1:9" x14ac:dyDescent="0.25">
      <c r="A24" t="s">
        <v>183</v>
      </c>
      <c r="C24" s="5">
        <f>-C9*mgmt_pct</f>
        <v>-276205.20968744985</v>
      </c>
      <c r="D24" s="5">
        <f>-D9*mgmt_pct</f>
        <v>-299059.4285827172</v>
      </c>
      <c r="E24" s="5">
        <f>-E9*mgmt_pct</f>
        <v>-315343.85512410064</v>
      </c>
      <c r="F24" s="5">
        <f>-F9*mgmt_pct</f>
        <v>-321202.0003790772</v>
      </c>
      <c r="G24" s="5">
        <f>-G9*mgmt_pct</f>
        <v>-327177.30853915337</v>
      </c>
      <c r="H24" s="5">
        <f>-H9*mgmt_pct</f>
        <v>-333272.12286243093</v>
      </c>
      <c r="I24" s="5">
        <f>-I9*mgmt_pct</f>
        <v>-339488.8334721741</v>
      </c>
    </row>
    <row r="25" spans="1:9" x14ac:dyDescent="0.25">
      <c r="A25" s="3" t="s">
        <v>184</v>
      </c>
      <c r="C25" s="5">
        <f>C24</f>
        <v>-276205.20968744985</v>
      </c>
      <c r="D25" s="5">
        <f>D24</f>
        <v>-299059.4285827172</v>
      </c>
      <c r="E25" s="5">
        <f>E24</f>
        <v>-315343.85512410064</v>
      </c>
      <c r="F25" s="5">
        <f>F24</f>
        <v>-321202.0003790772</v>
      </c>
      <c r="G25" s="5">
        <f>G24</f>
        <v>-327177.30853915337</v>
      </c>
      <c r="H25" s="5">
        <f>H24</f>
        <v>-333272.12286243093</v>
      </c>
      <c r="I25" s="5">
        <f>I24</f>
        <v>-339488.8334721741</v>
      </c>
    </row>
    <row r="26" spans="1:9" x14ac:dyDescent="0.25">
      <c r="A26" s="3" t="s">
        <v>185</v>
      </c>
      <c r="C26" s="5">
        <f>C23+C25</f>
        <v>942454.0189152913</v>
      </c>
      <c r="D26" s="5">
        <f>D23+D25</f>
        <v>1029018.4531576283</v>
      </c>
      <c r="E26" s="5">
        <f>E23+E25</f>
        <v>1087609.522687705</v>
      </c>
      <c r="F26" s="5">
        <f>F23+F25</f>
        <v>1107442.298851807</v>
      </c>
      <c r="G26" s="5">
        <f>G23+G25</f>
        <v>1127671.730539191</v>
      </c>
      <c r="H26" s="5">
        <f>H23+H25</f>
        <v>1148305.7508603218</v>
      </c>
      <c r="I26" s="5">
        <f>I23+I25</f>
        <v>1169352.451587876</v>
      </c>
    </row>
    <row r="27" spans="1:9" x14ac:dyDescent="0.25">
      <c r="A27" t="s">
        <v>186</v>
      </c>
      <c r="C27" s="5">
        <f>-ibi_a*C35</f>
        <v>-17100</v>
      </c>
      <c r="D27" s="5">
        <f>-ibi_a*D35</f>
        <v>-17442</v>
      </c>
      <c r="E27" s="5">
        <f>-ibi_a*E35</f>
        <v>-17790.84</v>
      </c>
      <c r="F27" s="5">
        <f>-ibi_a*F35</f>
        <v>-18146.656800000004</v>
      </c>
      <c r="G27" s="5">
        <f>-ibi_a*G35</f>
        <v>-18509.589936</v>
      </c>
      <c r="H27" s="5">
        <f>-ibi_a*H35</f>
        <v>-18879.78173472</v>
      </c>
      <c r="I27" s="5">
        <f>-ibi_a*I35</f>
        <v>-19257.3773694144</v>
      </c>
    </row>
    <row r="28" spans="1:9" x14ac:dyDescent="0.25">
      <c r="A28" t="s">
        <v>187</v>
      </c>
      <c r="C28" s="5">
        <f>-cost_unit_n*12*ins_m*C35</f>
        <v>-9360</v>
      </c>
      <c r="D28" s="5">
        <f>-cost_unit_n*12*ins_m*D35</f>
        <v>-9547.2</v>
      </c>
      <c r="E28" s="5">
        <f>-cost_unit_n*12*ins_m*E35</f>
        <v>-9738.144</v>
      </c>
      <c r="F28" s="5">
        <f>-cost_unit_n*12*ins_m*F35</f>
        <v>-9932.906880000002</v>
      </c>
      <c r="G28" s="5">
        <f>-cost_unit_n*12*ins_m*G35</f>
        <v>-10131.5650176</v>
      </c>
      <c r="H28" s="5">
        <f>-cost_unit_n*12*ins_m*H35</f>
        <v>-10334.196317952</v>
      </c>
      <c r="I28" s="5">
        <f>-cost_unit_n*12*ins_m*I35</f>
        <v>-10540.88024431104</v>
      </c>
    </row>
    <row r="29" spans="1:9" x14ac:dyDescent="0.25">
      <c r="A29" s="3" t="s">
        <v>188</v>
      </c>
      <c r="C29" s="5">
        <f>C27+C28</f>
        <v>-26460</v>
      </c>
      <c r="D29" s="5">
        <f>D27+D28</f>
        <v>-26989.2</v>
      </c>
      <c r="E29" s="5">
        <f>E27+E28</f>
        <v>-27528.984</v>
      </c>
      <c r="F29" s="5">
        <f>F27+F28</f>
        <v>-28079.563680000007</v>
      </c>
      <c r="G29" s="5">
        <f>G27+G28</f>
        <v>-28641.154953600002</v>
      </c>
      <c r="H29" s="5">
        <f>H27+H28</f>
        <v>-29213.978052672</v>
      </c>
      <c r="I29" s="5">
        <f>I27+I28</f>
        <v>-29798.25761372544</v>
      </c>
    </row>
    <row r="30" spans="1:9" x14ac:dyDescent="0.25">
      <c r="A30" s="3" t="s">
        <v>189</v>
      </c>
      <c r="C30" s="5">
        <f>C26+C29</f>
        <v>915994.0189152913</v>
      </c>
      <c r="D30" s="5">
        <f>D26+D29</f>
        <v>1002029.2531576284</v>
      </c>
      <c r="E30" s="5">
        <f>E26+E29</f>
        <v>1060080.538687705</v>
      </c>
      <c r="F30" s="5">
        <f>F26+F29</f>
        <v>1079362.735171807</v>
      </c>
      <c r="G30" s="5">
        <f>G26+G29</f>
        <v>1099030.5755855911</v>
      </c>
      <c r="H30" s="5">
        <f>H26+H29</f>
        <v>1119091.7728076498</v>
      </c>
      <c r="I30" s="5">
        <f>I26+I29</f>
        <v>1139554.1939741506</v>
      </c>
    </row>
    <row r="31" spans="1:9" x14ac:dyDescent="0.25">
      <c r="A31" t="s">
        <v>190</v>
      </c>
      <c r="C31" s="5">
        <f>-C9*ffe_pct</f>
        <v>-44549.22736894353</v>
      </c>
      <c r="D31" s="5">
        <f>-D9*ffe_pct</f>
        <v>-48235.39170688987</v>
      </c>
      <c r="E31" s="5">
        <f>-E9*ffe_pct</f>
        <v>-50861.91211679042</v>
      </c>
      <c r="F31" s="5">
        <f>-F9*ffe_pct</f>
        <v>-51806.77425468987</v>
      </c>
      <c r="G31" s="5">
        <f>-G9*ffe_pct</f>
        <v>-52770.53363534732</v>
      </c>
      <c r="H31" s="5">
        <f>-H9*ffe_pct</f>
        <v>-53753.56820361789</v>
      </c>
      <c r="I31" s="5">
        <f>-I9*ffe_pct</f>
        <v>-54756.26346325389</v>
      </c>
    </row>
    <row r="32" spans="1:9" x14ac:dyDescent="0.25">
      <c r="A32" s="3" t="s">
        <v>191</v>
      </c>
      <c r="C32" s="5">
        <f>C30+C31</f>
        <v>871444.7915463478</v>
      </c>
      <c r="D32" s="5">
        <f>D30+D31</f>
        <v>953793.8614507385</v>
      </c>
      <c r="E32" s="5">
        <f>E30+E31</f>
        <v>1009218.6265709146</v>
      </c>
      <c r="F32" s="5">
        <f>F30+F31</f>
        <v>1027555.960917117</v>
      </c>
      <c r="G32" s="5">
        <f>G30+G31</f>
        <v>1046260.0419502436</v>
      </c>
      <c r="H32" s="5">
        <f>H30+H31</f>
        <v>1065338.204604032</v>
      </c>
      <c r="I32" s="5">
        <f>I30+I31</f>
        <v>1084797.930510897</v>
      </c>
    </row>
    <row r="34" spans="1:9" x14ac:dyDescent="0.25">
      <c r="A34" t="s">
        <v>192</v>
      </c>
      <c r="C34" s="5">
        <f>C5+C6+C10+C11+C12+C13</f>
        <v>1216501.039558016</v>
      </c>
      <c r="D34" s="5">
        <f>D5+D6+D10+D11+D12+D13</f>
        <v>1329988.2515778346</v>
      </c>
      <c r="E34" s="5">
        <f>E5+E6+E10+E11+E12+E13</f>
        <v>1405699.6250824106</v>
      </c>
      <c r="F34" s="5">
        <f>F5+F6+F10+F11+F12+F13</f>
        <v>1431410.7309167716</v>
      </c>
      <c r="G34" s="5">
        <f>G5+G6+G10+G11+G12+G13</f>
        <v>1457636.05886782</v>
      </c>
      <c r="H34" s="5">
        <f>H5+H6+H10+H11+H12+H13</f>
        <v>1484385.893377889</v>
      </c>
      <c r="I34" s="5">
        <f>I5+I6+I10+I11+I12+I13</f>
        <v>1511670.7245781594</v>
      </c>
    </row>
    <row r="35" spans="1:9" x14ac:dyDescent="0.25">
      <c r="A35" t="s">
        <v>193</v>
      </c>
      <c r="C35" s="13">
        <f>(1+cost_infl)^0</f>
        <v>1</v>
      </c>
      <c r="D35" s="13">
        <f>(1+cost_infl)^1</f>
        <v>1.02</v>
      </c>
      <c r="E35" s="13">
        <f>(1+cost_infl)^2</f>
        <v>1.0404</v>
      </c>
      <c r="F35" s="13">
        <f>(1+cost_infl)^3</f>
        <v>1.0612080000000002</v>
      </c>
      <c r="G35" s="13">
        <f>(1+cost_infl)^4</f>
        <v>1.08243216</v>
      </c>
      <c r="H35" s="13">
        <f>(1+cost_infl)^5</f>
        <v>1.1040808032</v>
      </c>
      <c r="I35" s="13">
        <f>(1+cost_infl)^6</f>
        <v>1.126162419264</v>
      </c>
    </row>
    <row r="36" spans="1:9" x14ac:dyDescent="0.25">
      <c r="A36" t="s">
        <v>194</v>
      </c>
      <c r="C36" s="5">
        <f>C34+C15+C16+C17+C18+C24+C27+C28+C31+C8+C7</f>
        <v>894556.7915463478</v>
      </c>
      <c r="D36" s="5">
        <f>D34+D15+D16+D17+D18+D24+D27+D28+D31+D8+D7</f>
        <v>977368.1014507385</v>
      </c>
      <c r="E36" s="5">
        <f>E34+E15+E16+E17+E18+E24+E27+E28+E31+E8+E7</f>
        <v>1033264.3513709146</v>
      </c>
      <c r="F36" s="5">
        <f>F34+F15+F16+F17+F18+F24+F27+F28+F31+F8+F7</f>
        <v>1052082.600213117</v>
      </c>
      <c r="G36" s="5">
        <f>G34+G15+G16+G17+G18+G24+G27+G28+G31+G8+G7</f>
        <v>1071277.2140321636</v>
      </c>
      <c r="H36" s="5">
        <f>H34+H15+H16+H17+H18+H24+H27+H28+H31+H8+H7</f>
        <v>1090855.7201275905</v>
      </c>
      <c r="I36" s="5">
        <f>I34+I15+I16+I17+I18+I24+I27+I28+I31+I8+I7</f>
        <v>1110825.7963449266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pane xSplit="2" topLeftCell="C1" activePane="topRight" state="frozen"/>
      <selection pane="topRight"/>
    </sheetView>
  </sheetViews>
  <sheetFormatPr defaultRowHeight="15" outlineLevelRow="0" outlineLevelCol="0" x14ac:dyDescent="55"/>
  <cols>
    <col min="1" max="1" width="32" customWidth="1"/>
    <col min="2" max="2" width="13" customWidth="1"/>
    <col min="3" max="9" width="12" customWidth="1"/>
  </cols>
  <sheetData>
    <row r="1" spans="1:1" x14ac:dyDescent="0.25">
      <c r="A1" s="2" t="s">
        <v>195</v>
      </c>
    </row>
    <row r="3" spans="1:2" x14ac:dyDescent="0.25">
      <c r="A3" t="s">
        <v>13</v>
      </c>
      <c r="B3" s="5">
        <f>ltv*tpc</f>
        <v>6301785.714285715</v>
      </c>
    </row>
    <row r="4" spans="1:2" x14ac:dyDescent="0.25">
      <c r="A4" t="s">
        <v>15</v>
      </c>
      <c r="B4" s="5">
        <f>apertura_pct*B3+ajdm_pct*B3+tasacion_u*units_c+notaria_pct*B3+registro_pct*B3+gestoria_f</f>
        <v>143886.60714285713</v>
      </c>
    </row>
    <row r="5" spans="1:2" x14ac:dyDescent="0.25">
      <c r="A5" t="s">
        <v>16</v>
      </c>
      <c r="B5" s="5">
        <f>tpc-B3+B4</f>
        <v>6445672.321428572</v>
      </c>
    </row>
    <row r="6" spans="1:2" x14ac:dyDescent="0.25">
      <c r="A6" t="s">
        <v>19</v>
      </c>
      <c r="B6" s="5">
        <f>B5*(1-gp_pct)</f>
        <v>5156537.857142858</v>
      </c>
    </row>
    <row r="7" spans="1:2" x14ac:dyDescent="0.25">
      <c r="A7" t="s">
        <v>20</v>
      </c>
      <c r="B7" s="5">
        <f>B5*gp_pct</f>
        <v>1289134.4642857146</v>
      </c>
    </row>
    <row r="8" spans="1:2" x14ac:dyDescent="0.25">
      <c r="A8" t="s">
        <v>21</v>
      </c>
      <c r="B8" s="5">
        <f>-PMT(rate/12,term*12,B3)*12</f>
        <v>513183.37681638345</v>
      </c>
    </row>
    <row r="10" spans="3:9" x14ac:dyDescent="0.25">
      <c r="C10" s="3" t="s">
        <v>156</v>
      </c>
      <c r="D10" s="3" t="s">
        <v>157</v>
      </c>
      <c r="E10" s="3" t="s">
        <v>158</v>
      </c>
      <c r="F10" s="3" t="s">
        <v>159</v>
      </c>
      <c r="G10" s="3" t="s">
        <v>160</v>
      </c>
      <c r="H10" s="3" t="s">
        <v>161</v>
      </c>
      <c r="I10" s="3" t="s">
        <v>162</v>
      </c>
    </row>
    <row r="11" spans="1:9" x14ac:dyDescent="0.25">
      <c r="A11" t="s">
        <v>191</v>
      </c>
      <c r="C11" s="5">
        <f>'P&amp;L'!C32</f>
        <v>871444.7915463478</v>
      </c>
      <c r="D11" s="5">
        <f>'P&amp;L'!D32</f>
        <v>953793.8614507385</v>
      </c>
      <c r="E11" s="5">
        <f>'P&amp;L'!E32</f>
        <v>1009218.6265709146</v>
      </c>
      <c r="F11" s="5">
        <f>'P&amp;L'!F32</f>
        <v>1027555.960917117</v>
      </c>
      <c r="G11" s="5">
        <f>'P&amp;L'!G32</f>
        <v>1046260.0419502436</v>
      </c>
      <c r="H11" s="5">
        <f>'P&amp;L'!H32</f>
        <v>1065338.204604032</v>
      </c>
      <c r="I11" s="5">
        <f>'P&amp;L'!I32</f>
        <v>1084797.930510897</v>
      </c>
    </row>
    <row r="12" spans="1:9" x14ac:dyDescent="0.25">
      <c r="A12" t="s">
        <v>196</v>
      </c>
      <c r="C12" s="5">
        <f>IF(B$3=0,0,CUMIPMT(rate/12,term*12,B$3,1,12,0))</f>
        <v>-168982.25512449731</v>
      </c>
      <c r="D12" s="5">
        <f>IF(B$3=0,0,CUMIPMT(rate/12,term*12,B$3,13,24,0))</f>
        <v>-159396.50307450333</v>
      </c>
      <c r="E12" s="5">
        <f>IF(B$3=0,0,CUMIPMT(rate/12,term*12,B$3,25,36,0))</f>
        <v>-149543.79476965382</v>
      </c>
      <c r="F12" s="5">
        <f>IF(B$3=0,0,CUMIPMT(rate/12,term*12,B$3,37,48,0))</f>
        <v>-139416.69567151763</v>
      </c>
      <c r="G12" s="5">
        <f>IF(B$3=0,0,CUMIPMT(rate/12,term*12,B$3,49,60,0))</f>
        <v>-129007.56419515067</v>
      </c>
      <c r="H12" s="5">
        <f>IF(B$3=0,0,CUMIPMT(rate/12,term*12,B$3,61,72,0))</f>
        <v>-118308.54594300041</v>
      </c>
      <c r="I12" s="5">
        <f>IF(B$3=0,0,CUMIPMT(rate/12,term*12,B$3,73,84,0))</f>
        <v>-107311.56777822885</v>
      </c>
    </row>
    <row r="13" spans="1:9" x14ac:dyDescent="0.25">
      <c r="A13" t="s">
        <v>197</v>
      </c>
      <c r="C13" s="5">
        <f>IF(B$3=0,0,CUMPRINC(rate/12,term*12,B$3,1,12,0))</f>
        <v>-344201.1216918862</v>
      </c>
      <c r="D13" s="5">
        <f>IF(B$3=0,0,CUMPRINC(rate/12,term*12,B$3,13,24,0))</f>
        <v>-353786.8737418802</v>
      </c>
      <c r="E13" s="5">
        <f>IF(B$3=0,0,CUMPRINC(rate/12,term*12,B$3,25,36,0))</f>
        <v>-363639.5820467297</v>
      </c>
      <c r="F13" s="5">
        <f>IF(B$3=0,0,CUMPRINC(rate/12,term*12,B$3,37,48,0))</f>
        <v>-373766.68114486587</v>
      </c>
      <c r="G13" s="5">
        <f>IF(B$3=0,0,CUMPRINC(rate/12,term*12,B$3,49,60,0))</f>
        <v>-384175.8126212329</v>
      </c>
      <c r="H13" s="5">
        <f>IF(B$3=0,0,CUMPRINC(rate/12,term*12,B$3,61,72,0))</f>
        <v>-394874.83087338303</v>
      </c>
      <c r="I13" s="5">
        <f>IF(B$3=0,0,CUMPRINC(rate/12,term*12,B$3,73,84,0))</f>
        <v>-405871.8090381546</v>
      </c>
    </row>
    <row r="14" spans="1:9" x14ac:dyDescent="0.25">
      <c r="A14" t="s">
        <v>198</v>
      </c>
      <c r="C14" s="5">
        <f>C11+C12+C13</f>
        <v>358261.4147299642</v>
      </c>
      <c r="D14" s="5">
        <f>D11+D12+D13</f>
        <v>440610.48463435506</v>
      </c>
      <c r="E14" s="5">
        <f>E11+E12+E13</f>
        <v>496035.24975453113</v>
      </c>
      <c r="F14" s="5">
        <f>F11+F12+F13</f>
        <v>514372.58410073345</v>
      </c>
      <c r="G14" s="5">
        <f>G11+G12+G13</f>
        <v>533076.6651338602</v>
      </c>
      <c r="H14" s="5">
        <f>H11+H12+H13</f>
        <v>552154.8277876487</v>
      </c>
      <c r="I14" s="5">
        <f>I11+I12+I13</f>
        <v>571614.5536945134</v>
      </c>
    </row>
    <row r="15" spans="1:9" x14ac:dyDescent="0.25">
      <c r="A15" t="s">
        <v>199</v>
      </c>
      <c r="C15" s="5">
        <f>MAX(0,C14)</f>
        <v>358261.4147299642</v>
      </c>
      <c r="D15" s="5">
        <f>MAX(0,D14)</f>
        <v>440610.48463435506</v>
      </c>
      <c r="E15" s="5">
        <f>MAX(0,E14)</f>
        <v>496035.24975453113</v>
      </c>
      <c r="F15" s="5">
        <f>MAX(0,F14)</f>
        <v>514372.58410073345</v>
      </c>
      <c r="G15" s="5">
        <f>MAX(0,G14)</f>
        <v>533076.6651338602</v>
      </c>
      <c r="H15" s="5">
        <f>MAX(0,H14)</f>
        <v>552154.8277876487</v>
      </c>
      <c r="I15" s="5">
        <f>MAX(0,I14)</f>
        <v>571614.5536945134</v>
      </c>
    </row>
    <row r="16" spans="1:9" x14ac:dyDescent="0.25">
      <c r="A16" t="s">
        <v>200</v>
      </c>
      <c r="C16" s="5">
        <f>5569060.885714287</f>
        <v>5569060.885714287</v>
      </c>
      <c r="D16" s="5">
        <f>5705047.894244742</f>
        <v>5705047.894244742</v>
      </c>
      <c r="E16" s="5">
        <f>5780764.267060238</f>
        <v>5780764.267060238</v>
      </c>
      <c r="F16" s="5">
        <f>5814650.952637143</f>
        <v>5814650.952637143</v>
      </c>
      <c r="G16" s="5">
        <f>5835405.116185082</f>
        <v>5835405.116185082</v>
      </c>
      <c r="H16" s="5">
        <f>5841659.286804233</f>
        <v>5841659.286804233</v>
      </c>
      <c r="I16" s="5">
        <f>5831930.258540044</f>
        <v>5831930.258540044</v>
      </c>
    </row>
    <row r="17" spans="1:9" x14ac:dyDescent="0.25">
      <c r="A17" t="s">
        <v>201</v>
      </c>
      <c r="C17" s="5">
        <f>5775322.400000001</f>
        <v>5775322.400000001</v>
      </c>
      <c r="D17" s="5">
        <f>6147358.8604019545</f>
        <v>6147358.8604019545</v>
      </c>
      <c r="E17" s="5">
        <f>6490254.929417808</f>
        <v>6490254.929417808</v>
      </c>
      <c r="F17" s="5">
        <f>6824637.937167887</f>
        <v>6824637.937167887</v>
      </c>
      <c r="G17" s="5">
        <f>7182716.654273773</f>
        <v>7182716.654273773</v>
      </c>
      <c r="H17" s="5">
        <f>7567005.960826692</f>
        <v>7567005.960826692</v>
      </c>
      <c r="I17" s="5">
        <f>7980315.95042816</f>
        <v>7980315.95042816</v>
      </c>
    </row>
    <row r="18" spans="1:9" x14ac:dyDescent="0.25">
      <c r="A18" t="s">
        <v>202</v>
      </c>
      <c r="C18" s="5">
        <f>0</f>
        <v>0</v>
      </c>
      <c r="D18" s="5">
        <f>C18+C22</f>
        <v>286609.1317839714</v>
      </c>
      <c r="E18" s="5">
        <f>D18+D22</f>
        <v>639097.5194914555</v>
      </c>
      <c r="F18" s="5">
        <f>E18+E22</f>
        <v>1035925.7192950805</v>
      </c>
      <c r="G18" s="5">
        <f>F18+F22</f>
        <v>1447423.7865756673</v>
      </c>
      <c r="H18" s="5">
        <f>G18+G22</f>
        <v>1873885.1186827556</v>
      </c>
      <c r="I18" s="5">
        <f>H18+H22</f>
        <v>2315608.9809128745</v>
      </c>
    </row>
    <row r="19" spans="1:9" x14ac:dyDescent="0.25">
      <c r="A19" t="s">
        <v>203</v>
      </c>
      <c r="C19" s="5">
        <f>358261.4147299642</f>
        <v>358261.4147299642</v>
      </c>
      <c r="D19" s="5">
        <f>440610.48463435506</f>
        <v>440610.48463435506</v>
      </c>
      <c r="E19" s="5">
        <f>496035.24975453113</f>
        <v>496035.24975453113</v>
      </c>
      <c r="F19" s="5">
        <f>514372.58410073345</f>
        <v>514372.58410073345</v>
      </c>
      <c r="G19" s="5">
        <f>533076.6651338602</f>
        <v>533076.6651338602</v>
      </c>
      <c r="H19" s="5">
        <f>552154.8277876487</f>
        <v>552154.8277876487</v>
      </c>
      <c r="I19" s="5">
        <f>571614.5536945134</f>
        <v>571614.5536945134</v>
      </c>
    </row>
    <row r="20" spans="1:9" x14ac:dyDescent="0.25">
      <c r="A20" t="s">
        <v>204</v>
      </c>
      <c r="C20" s="5">
        <f>0</f>
        <v>0</v>
      </c>
      <c r="D20" s="5">
        <f>0</f>
        <v>0</v>
      </c>
      <c r="E20" s="5">
        <f>0</f>
        <v>0</v>
      </c>
      <c r="F20" s="5">
        <f>0</f>
        <v>0</v>
      </c>
      <c r="G20" s="5">
        <f>0</f>
        <v>0</v>
      </c>
      <c r="H20" s="5">
        <f>0</f>
        <v>0</v>
      </c>
      <c r="I20" s="5">
        <f>0</f>
        <v>0</v>
      </c>
    </row>
    <row r="21" spans="1:9" x14ac:dyDescent="0.25">
      <c r="A21" t="s">
        <v>205</v>
      </c>
      <c r="C21" s="5">
        <f>0</f>
        <v>0</v>
      </c>
      <c r="D21" s="5">
        <f>0</f>
        <v>0</v>
      </c>
      <c r="E21" s="5">
        <f>0</f>
        <v>0</v>
      </c>
      <c r="F21" s="5">
        <f>0</f>
        <v>0</v>
      </c>
      <c r="G21" s="5">
        <f>0</f>
        <v>0</v>
      </c>
      <c r="H21" s="5">
        <f>0</f>
        <v>0</v>
      </c>
      <c r="I21" s="5">
        <f>0</f>
        <v>0</v>
      </c>
    </row>
    <row r="22" spans="1:9" x14ac:dyDescent="0.25">
      <c r="A22" t="s">
        <v>206</v>
      </c>
      <c r="C22" s="5">
        <f>286609.1317839714</f>
        <v>286609.1317839714</v>
      </c>
      <c r="D22" s="5">
        <f>352488.3877074841</f>
        <v>352488.3877074841</v>
      </c>
      <c r="E22" s="5">
        <f>396828.19980362494</f>
        <v>396828.19980362494</v>
      </c>
      <c r="F22" s="5">
        <f>411498.0672805868</f>
        <v>411498.0672805868</v>
      </c>
      <c r="G22" s="5">
        <f>426461.3321070882</f>
        <v>426461.3321070882</v>
      </c>
      <c r="H22" s="5">
        <f>441723.86223011895</f>
        <v>441723.86223011895</v>
      </c>
      <c r="I22" s="5">
        <f>457291.64295561076</f>
        <v>457291.64295561076</v>
      </c>
    </row>
    <row r="23" spans="1:9" x14ac:dyDescent="0.25">
      <c r="A23" t="s">
        <v>207</v>
      </c>
      <c r="C23" s="5">
        <f>71652.28294599283</f>
        <v>71652.28294599283</v>
      </c>
      <c r="D23" s="5">
        <f>88122.09692687099</f>
        <v>88122.09692687099</v>
      </c>
      <c r="E23" s="5">
        <f>99207.04995090619</f>
        <v>99207.04995090619</v>
      </c>
      <c r="F23" s="5">
        <f>102874.51682014664</f>
        <v>102874.51682014664</v>
      </c>
      <c r="G23" s="5">
        <f>106615.33302677202</f>
        <v>106615.33302677202</v>
      </c>
      <c r="H23" s="5">
        <f>110430.96555752971</f>
        <v>110430.96555752971</v>
      </c>
      <c r="I23" s="5">
        <f>114322.91073890263</f>
        <v>114322.91073890263</v>
      </c>
    </row>
    <row r="25" spans="1:2" x14ac:dyDescent="0.25">
      <c r="A25" t="s">
        <v>208</v>
      </c>
      <c r="B25" s="5">
        <f>'P&amp;L'!I32</f>
        <v>1084797.930510897</v>
      </c>
    </row>
    <row r="26" spans="1:2" x14ac:dyDescent="0.25">
      <c r="A26" t="s">
        <v>209</v>
      </c>
      <c r="B26" s="5">
        <f>B25/cap</f>
        <v>15497113.293012813</v>
      </c>
    </row>
    <row r="27" spans="1:2" x14ac:dyDescent="0.25">
      <c r="A27" t="s">
        <v>27</v>
      </c>
      <c r="B27" s="5">
        <f>-B26*sell_pct</f>
        <v>-309942.2658602563</v>
      </c>
    </row>
    <row r="28" spans="1:2" x14ac:dyDescent="0.25">
      <c r="A28" t="s">
        <v>210</v>
      </c>
      <c r="B28" s="5">
        <f>IF(B$3=0,0,B$3+CUMPRINC(rate/12,term*12,B$3,1,84,0))</f>
        <v>3681469.003127581</v>
      </c>
    </row>
    <row r="29" spans="1:2" x14ac:dyDescent="0.25">
      <c r="A29" t="s">
        <v>211</v>
      </c>
      <c r="B29" s="5">
        <f>B26+B27-B28</f>
        <v>11505702.024024976</v>
      </c>
    </row>
    <row r="30" spans="1:2" x14ac:dyDescent="0.25">
      <c r="A30" t="s">
        <v>212</v>
      </c>
      <c r="B30" s="5">
        <f>MAX(0,B29-eq_total)</f>
        <v>5060029.702596404</v>
      </c>
    </row>
    <row r="31" spans="1:2" x14ac:dyDescent="0.25">
      <c r="A31" t="s">
        <v>213</v>
      </c>
      <c r="B31" s="5">
        <f>8553993.110009396</f>
        <v>8553993.110009396</v>
      </c>
    </row>
    <row r="32" spans="1:2" x14ac:dyDescent="0.25">
      <c r="A32" t="s">
        <v>214</v>
      </c>
      <c r="B32" s="5">
        <f>2951708.91401558</f>
        <v>2951708.91401558</v>
      </c>
    </row>
    <row r="34" spans="1:9" x14ac:dyDescent="0.25">
      <c r="A34" t="s">
        <v>215</v>
      </c>
      <c r="B34" s="5">
        <f>-eq_lp</f>
        <v>-5156537.857142858</v>
      </c>
      <c r="C34" s="5">
        <f>C22</f>
        <v>286609.1317839714</v>
      </c>
      <c r="D34" s="5">
        <f>D22</f>
        <v>352488.3877074841</v>
      </c>
      <c r="E34" s="5">
        <f>E22</f>
        <v>396828.19980362494</v>
      </c>
      <c r="F34" s="5">
        <f>F22</f>
        <v>411498.0672805868</v>
      </c>
      <c r="G34" s="5">
        <f>G22</f>
        <v>426461.3321070882</v>
      </c>
      <c r="H34" s="5">
        <f>H22</f>
        <v>441723.86223011895</v>
      </c>
      <c r="I34" s="5">
        <f>I22+B31</f>
        <v>9011284.752965007</v>
      </c>
    </row>
    <row r="36" spans="1:2" x14ac:dyDescent="0.25">
      <c r="A36" s="3" t="s">
        <v>31</v>
      </c>
      <c r="B36" s="6">
        <f>IRR(B34:I34)</f>
        <v>0.13631682197276268</v>
      </c>
    </row>
    <row r="37" spans="1:2" x14ac:dyDescent="0.25">
      <c r="A37" s="3" t="s">
        <v>216</v>
      </c>
      <c r="B37" s="5">
        <f>SUM(C22:I22)+B31</f>
        <v>11326893.733877882</v>
      </c>
    </row>
    <row r="38" spans="1:2" x14ac:dyDescent="0.25">
      <c r="A38" s="3" t="s">
        <v>217</v>
      </c>
      <c r="B38" s="7">
        <f>B37/eq_lp</f>
        <v>2.1966082762657937</v>
      </c>
    </row>
    <row r="39" spans="1:2" x14ac:dyDescent="0.25">
      <c r="A39" s="3" t="s">
        <v>218</v>
      </c>
      <c r="B39" s="6">
        <f>'P&amp;L'!E32/tpc</f>
        <v>0.08007401967692153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"/>
  <sheetViews>
    <sheetView workbookViewId="0">
      <pane xSplit="2" topLeftCell="C1" activePane="topRight" state="frozen"/>
      <selection pane="topRight"/>
    </sheetView>
  </sheetViews>
  <sheetFormatPr defaultRowHeight="15" outlineLevelRow="0" outlineLevelCol="0" x14ac:dyDescent="55"/>
  <cols>
    <col min="1" max="1" width="34" customWidth="1"/>
    <col min="2" max="2" width="15" customWidth="1"/>
    <col min="3" max="9" width="12" customWidth="1"/>
  </cols>
  <sheetData>
    <row r="1" spans="1:1" x14ac:dyDescent="0.25">
      <c r="A1" s="2" t="s">
        <v>219</v>
      </c>
    </row>
    <row r="3" spans="1:1" x14ac:dyDescent="0.25">
      <c r="A3" s="3" t="s">
        <v>220</v>
      </c>
    </row>
    <row r="4" spans="2:9" x14ac:dyDescent="0.25">
      <c r="B4" s="3" t="s">
        <v>221</v>
      </c>
      <c r="C4" s="3" t="s">
        <v>156</v>
      </c>
      <c r="D4" s="3" t="s">
        <v>157</v>
      </c>
      <c r="E4" s="3" t="s">
        <v>158</v>
      </c>
      <c r="F4" s="3" t="s">
        <v>159</v>
      </c>
      <c r="G4" s="3" t="s">
        <v>160</v>
      </c>
      <c r="H4" s="3" t="s">
        <v>161</v>
      </c>
      <c r="I4" s="3" t="s">
        <v>162</v>
      </c>
    </row>
    <row r="5" spans="1:2" x14ac:dyDescent="0.25">
      <c r="A5" t="s">
        <v>222</v>
      </c>
      <c r="B5" s="5">
        <f>-IF(Assumptions!$B$47&gt;0,tpc,cost_base)</f>
        <v>-12476262.626262626</v>
      </c>
    </row>
    <row r="6" spans="1:2" x14ac:dyDescent="0.25">
      <c r="A6" t="s">
        <v>15</v>
      </c>
      <c r="B6" s="5">
        <f>-IF(B8=0,0,(Assumptions!$B$51+Assumptions!$B$52+Assumptions!$B$54+Assumptions!$B$55)*B8+Assumptions!$B$53*units_c+Assumptions!$B$56)</f>
        <v>0</v>
      </c>
    </row>
    <row r="7" spans="1:2" x14ac:dyDescent="0.25">
      <c r="A7" t="s">
        <v>17</v>
      </c>
      <c r="B7" s="5">
        <f>-vat_float</f>
        <v>-262395</v>
      </c>
    </row>
    <row r="8" spans="1:2" x14ac:dyDescent="0.25">
      <c r="A8" t="s">
        <v>223</v>
      </c>
      <c r="B8" s="5">
        <f>Assumptions!$B$47*tpc</f>
        <v>0</v>
      </c>
    </row>
    <row r="9" spans="1:2" x14ac:dyDescent="0.25">
      <c r="A9" t="s">
        <v>224</v>
      </c>
      <c r="B9" s="5">
        <f>(-(B5+B8+B6)-B7)*(1-gp_pct)</f>
        <v>10190926.1010101</v>
      </c>
    </row>
    <row r="10" spans="1:2" x14ac:dyDescent="0.25">
      <c r="A10" t="s">
        <v>225</v>
      </c>
      <c r="B10" s="5">
        <f>(-(B5+B8+B6)-B7)*gp_pct</f>
        <v>2547731.525252525</v>
      </c>
    </row>
    <row r="11" spans="1:2" x14ac:dyDescent="0.25">
      <c r="A11" s="3" t="s">
        <v>226</v>
      </c>
      <c r="B11" s="5">
        <f>SUM(B5:B10)</f>
        <v>0</v>
      </c>
    </row>
    <row r="13" spans="1:9" x14ac:dyDescent="0.25">
      <c r="A13" t="s">
        <v>191</v>
      </c>
      <c r="C13" s="5">
        <f>'P&amp;L'!C32</f>
        <v>871444.7915463478</v>
      </c>
      <c r="D13" s="5">
        <f>'P&amp;L'!D32</f>
        <v>953793.8614507385</v>
      </c>
      <c r="E13" s="5">
        <f>'P&amp;L'!E32</f>
        <v>1009218.6265709146</v>
      </c>
      <c r="F13" s="5">
        <f>'P&amp;L'!F32</f>
        <v>1027555.960917117</v>
      </c>
      <c r="G13" s="5">
        <f>'P&amp;L'!G32</f>
        <v>1046260.0419502436</v>
      </c>
      <c r="H13" s="5">
        <f>'P&amp;L'!H32</f>
        <v>1065338.204604032</v>
      </c>
      <c r="I13" s="5">
        <f>'P&amp;L'!I32</f>
        <v>1084797.930510897</v>
      </c>
    </row>
    <row r="14" spans="1:9" x14ac:dyDescent="0.25">
      <c r="A14" t="s">
        <v>196</v>
      </c>
      <c r="C14" s="5">
        <f>IF(B8=0,0,CUMIPMT(Assumptions!$B$48/12,Assumptions!$B$49*12,B8,1,12,0))</f>
        <v>0</v>
      </c>
      <c r="D14" s="5">
        <f>IF(B8=0,0,CUMIPMT(Assumptions!$B$48/12,Assumptions!$B$49*12,B8,13,24,0))</f>
        <v>0</v>
      </c>
      <c r="E14" s="5">
        <f>IF(B8=0,0,CUMIPMT(Assumptions!$B$48/12,Assumptions!$B$49*12,B8,25,36,0))</f>
        <v>0</v>
      </c>
      <c r="F14" s="5">
        <f>IF(B8=0,0,CUMIPMT(Assumptions!$B$48/12,Assumptions!$B$49*12,B8,37,48,0))</f>
        <v>0</v>
      </c>
      <c r="G14" s="5">
        <f>IF(B8=0,0,CUMIPMT(Assumptions!$B$48/12,Assumptions!$B$49*12,B8,49,60,0))</f>
        <v>0</v>
      </c>
      <c r="H14" s="5">
        <f>IF(B8=0,0,CUMIPMT(Assumptions!$B$48/12,Assumptions!$B$49*12,B8,61,72,0))</f>
        <v>0</v>
      </c>
      <c r="I14" s="5">
        <f>IF(B8=0,0,CUMIPMT(Assumptions!$B$48/12,Assumptions!$B$49*12,B8,73,84,0))</f>
        <v>0</v>
      </c>
    </row>
    <row r="15" spans="1:9" x14ac:dyDescent="0.25">
      <c r="A15" t="s">
        <v>197</v>
      </c>
      <c r="C15" s="5">
        <f>IF(B8=0,0,CUMPRINC(Assumptions!$B$48/12,Assumptions!$B$49*12,B8,1,12,0))</f>
        <v>0</v>
      </c>
      <c r="D15" s="5">
        <f>IF(B8=0,0,CUMPRINC(Assumptions!$B$48/12,Assumptions!$B$49*12,B8,13,24,0))</f>
        <v>0</v>
      </c>
      <c r="E15" s="5">
        <f>IF(B8=0,0,CUMPRINC(Assumptions!$B$48/12,Assumptions!$B$49*12,B8,25,36,0))</f>
        <v>0</v>
      </c>
      <c r="F15" s="5">
        <f>IF(B8=0,0,CUMPRINC(Assumptions!$B$48/12,Assumptions!$B$49*12,B8,37,48,0))</f>
        <v>0</v>
      </c>
      <c r="G15" s="5">
        <f>IF(B8=0,0,CUMPRINC(Assumptions!$B$48/12,Assumptions!$B$49*12,B8,49,60,0))</f>
        <v>0</v>
      </c>
      <c r="H15" s="5">
        <f>IF(B8=0,0,CUMPRINC(Assumptions!$B$48/12,Assumptions!$B$49*12,B8,61,72,0))</f>
        <v>0</v>
      </c>
      <c r="I15" s="5">
        <f>IF(B8=0,0,CUMPRINC(Assumptions!$B$48/12,Assumptions!$B$49*12,B8,73,84,0))</f>
        <v>0</v>
      </c>
    </row>
    <row r="16" spans="1:9" x14ac:dyDescent="0.25">
      <c r="A16" t="s">
        <v>227</v>
      </c>
      <c r="C16" s="5">
        <f>C13+C14+C15</f>
        <v>871444.7915463478</v>
      </c>
      <c r="D16" s="5">
        <f>D13+D14+D15</f>
        <v>953793.8614507385</v>
      </c>
      <c r="E16" s="5">
        <f>E13+E14+E15</f>
        <v>1009218.6265709146</v>
      </c>
      <c r="F16" s="5">
        <f>F13+F14+F15</f>
        <v>1027555.960917117</v>
      </c>
      <c r="G16" s="5">
        <f>G13+G14+G15</f>
        <v>1046260.0419502436</v>
      </c>
      <c r="H16" s="5">
        <f>H13+H14+H15</f>
        <v>1065338.204604032</v>
      </c>
      <c r="I16" s="5">
        <f>I13+I14+I15</f>
        <v>1084797.930510897</v>
      </c>
    </row>
    <row r="17" spans="1:9" x14ac:dyDescent="0.25">
      <c r="A17" t="s">
        <v>228</v>
      </c>
      <c r="C17" s="5">
        <f>0</f>
        <v>0</v>
      </c>
      <c r="D17" s="5">
        <f>0</f>
        <v>0</v>
      </c>
      <c r="E17" s="5">
        <f>0</f>
        <v>0</v>
      </c>
      <c r="F17" s="5">
        <f>0</f>
        <v>0</v>
      </c>
      <c r="G17" s="5">
        <f>0</f>
        <v>0</v>
      </c>
      <c r="H17" s="5">
        <f>0</f>
        <v>0</v>
      </c>
      <c r="I17" s="5">
        <f>0</f>
        <v>0</v>
      </c>
    </row>
    <row r="18" spans="1:9" x14ac:dyDescent="0.25">
      <c r="A18" t="s">
        <v>229</v>
      </c>
      <c r="C18" s="5">
        <f>IF(1=MIN(MAX(1,ROUNDUP(vat_months/12,0)),7),-B7,0)</f>
        <v>262395</v>
      </c>
      <c r="D18" s="5">
        <f>IF(2=MIN(MAX(1,ROUNDUP(vat_months/12,0)),7),-B7,0)</f>
        <v>0</v>
      </c>
      <c r="E18" s="5">
        <f>IF(3=MIN(MAX(1,ROUNDUP(vat_months/12,0)),7),-B7,0)</f>
        <v>0</v>
      </c>
      <c r="F18" s="5">
        <f>IF(4=MIN(MAX(1,ROUNDUP(vat_months/12,0)),7),-B7,0)</f>
        <v>0</v>
      </c>
      <c r="G18" s="5">
        <f>IF(5=MIN(MAX(1,ROUNDUP(vat_months/12,0)),7),-B7,0)</f>
        <v>0</v>
      </c>
      <c r="H18" s="5">
        <f>IF(6=MIN(MAX(1,ROUNDUP(vat_months/12,0)),7),-B7,0)</f>
        <v>0</v>
      </c>
      <c r="I18" s="5">
        <f>IF(7=MIN(MAX(1,ROUNDUP(vat_months/12,0)),7),-B7,0)</f>
        <v>0</v>
      </c>
    </row>
    <row r="19" spans="1:9" x14ac:dyDescent="0.25">
      <c r="A19" t="s">
        <v>230</v>
      </c>
      <c r="C19" s="5">
        <f>C16+C17+C18</f>
        <v>1133839.7915463478</v>
      </c>
      <c r="D19" s="5">
        <f>C19+D16+D17+D18</f>
        <v>2087633.6529970863</v>
      </c>
      <c r="E19" s="5">
        <f>D19+E16+E17+E18</f>
        <v>3096852.2795680007</v>
      </c>
      <c r="F19" s="5">
        <f>E19+F16+F17+F18</f>
        <v>4124408.240485118</v>
      </c>
      <c r="G19" s="5">
        <f>F19+G16+G17+G18</f>
        <v>5170668.282435361</v>
      </c>
      <c r="H19" s="5">
        <f>G19+H16+H17+H18</f>
        <v>6236006.487039393</v>
      </c>
      <c r="I19" s="5">
        <f>H19+I16+I17+I18</f>
        <v>7320804.41755029</v>
      </c>
    </row>
    <row r="20" spans="1:9" x14ac:dyDescent="0.25">
      <c r="A20" t="s">
        <v>231</v>
      </c>
      <c r="C20" s="7">
        <f>IF((C14+C15)=0,0,-C13/(C14+C15))</f>
        <v>0</v>
      </c>
      <c r="D20" s="7">
        <f>IF((D14+D15)=0,0,-D13/(D14+D15))</f>
        <v>0</v>
      </c>
      <c r="E20" s="7">
        <f>IF((E14+E15)=0,0,-E13/(E14+E15))</f>
        <v>0</v>
      </c>
      <c r="F20" s="7">
        <f>IF((F14+F15)=0,0,-F13/(F14+F15))</f>
        <v>0</v>
      </c>
      <c r="G20" s="7">
        <f>IF((G14+G15)=0,0,-G13/(G14+G15))</f>
        <v>0</v>
      </c>
      <c r="H20" s="7">
        <f>IF((H14+H15)=0,0,-H13/(H14+H15))</f>
        <v>0</v>
      </c>
      <c r="I20" s="7">
        <f>IF((I14+I15)=0,0,-I13/(I14+I15))</f>
        <v>0</v>
      </c>
    </row>
    <row r="22" spans="1:9" x14ac:dyDescent="0.25">
      <c r="A22" t="s">
        <v>26</v>
      </c>
      <c r="C22" s="5">
        <f>IF(1=7,'P&amp;L'!I32/cap,0)</f>
        <v>0</v>
      </c>
      <c r="D22" s="5">
        <f>IF(2=7,'P&amp;L'!I32/cap,0)</f>
        <v>0</v>
      </c>
      <c r="E22" s="5">
        <f>IF(3=7,'P&amp;L'!I32/cap,0)</f>
        <v>0</v>
      </c>
      <c r="F22" s="5">
        <f>IF(4=7,'P&amp;L'!I32/cap,0)</f>
        <v>0</v>
      </c>
      <c r="G22" s="5">
        <f>IF(5=7,'P&amp;L'!I32/cap,0)</f>
        <v>0</v>
      </c>
      <c r="H22" s="5">
        <f>IF(6=7,'P&amp;L'!I32/cap,0)</f>
        <v>0</v>
      </c>
      <c r="I22" s="5">
        <f>IF(7=7,'P&amp;L'!I32/cap,0)</f>
        <v>15497113.293012813</v>
      </c>
    </row>
    <row r="23" spans="1:9" x14ac:dyDescent="0.25">
      <c r="A23" t="s">
        <v>27</v>
      </c>
      <c r="C23" s="5">
        <f>-C22*sell_pct</f>
        <v>0</v>
      </c>
      <c r="D23" s="5">
        <f>-D22*sell_pct</f>
        <v>0</v>
      </c>
      <c r="E23" s="5">
        <f>-E22*sell_pct</f>
        <v>0</v>
      </c>
      <c r="F23" s="5">
        <f>-F22*sell_pct</f>
        <v>0</v>
      </c>
      <c r="G23" s="5">
        <f>-G22*sell_pct</f>
        <v>0</v>
      </c>
      <c r="H23" s="5">
        <f>-H22*sell_pct</f>
        <v>0</v>
      </c>
      <c r="I23" s="5">
        <f>-I22*sell_pct</f>
        <v>-309942.2658602558</v>
      </c>
    </row>
    <row r="24" spans="1:9" x14ac:dyDescent="0.25">
      <c r="A24" t="s">
        <v>28</v>
      </c>
      <c r="C24" s="5">
        <f>IF(1&lt;7,0,IF(B8=0,0,-(B8+CUMPRINC(Assumptions!$B$48/12,Assumptions!$B$49*12,B8,1,84,0))))</f>
        <v>0</v>
      </c>
      <c r="D24" s="5">
        <f>IF(2&lt;7,0,IF(B8=0,0,-(B8+CUMPRINC(Assumptions!$B$48/12,Assumptions!$B$49*12,B8,1,84,0))))</f>
        <v>0</v>
      </c>
      <c r="E24" s="5">
        <f>IF(3&lt;7,0,IF(B8=0,0,-(B8+CUMPRINC(Assumptions!$B$48/12,Assumptions!$B$49*12,B8,1,84,0))))</f>
        <v>0</v>
      </c>
      <c r="F24" s="5">
        <f>IF(4&lt;7,0,IF(B8=0,0,-(B8+CUMPRINC(Assumptions!$B$48/12,Assumptions!$B$49*12,B8,1,84,0))))</f>
        <v>0</v>
      </c>
      <c r="G24" s="5">
        <f>IF(5&lt;7,0,IF(B8=0,0,-(B8+CUMPRINC(Assumptions!$B$48/12,Assumptions!$B$49*12,B8,1,84,0))))</f>
        <v>0</v>
      </c>
      <c r="H24" s="5">
        <f>IF(6&lt;7,0,IF(B8=0,0,-(B8+CUMPRINC(Assumptions!$B$48/12,Assumptions!$B$49*12,B8,1,84,0))))</f>
        <v>0</v>
      </c>
      <c r="I24" s="5">
        <f>IF(7&lt;7,0,IF(B8=0,0,-(B8+CUMPRINC(Assumptions!$B$48/12,Assumptions!$B$49*12,B8,1,84,0))))</f>
        <v>0</v>
      </c>
    </row>
    <row r="25" spans="1:9" x14ac:dyDescent="0.25">
      <c r="A25" t="s">
        <v>29</v>
      </c>
      <c r="C25" s="5">
        <f>C22+C23+C24</f>
        <v>0</v>
      </c>
      <c r="D25" s="5">
        <f>D22+D23+D24</f>
        <v>0</v>
      </c>
      <c r="E25" s="5">
        <f>E22+E23+E24</f>
        <v>0</v>
      </c>
      <c r="F25" s="5">
        <f>F22+F23+F24</f>
        <v>0</v>
      </c>
      <c r="G25" s="5">
        <f>G22+G23+G24</f>
        <v>0</v>
      </c>
      <c r="H25" s="5">
        <f>H22+H23+H24</f>
        <v>0</v>
      </c>
      <c r="I25" s="5">
        <f>I22+I23+I24</f>
        <v>15187171.027152557</v>
      </c>
    </row>
    <row r="27" spans="1:9" x14ac:dyDescent="0.25">
      <c r="A27" t="s">
        <v>206</v>
      </c>
      <c r="C27" s="5">
        <f>697155.8332370783</f>
        <v>697155.8332370783</v>
      </c>
      <c r="D27" s="5">
        <f>763035.0891605909</f>
        <v>763035.0891605909</v>
      </c>
      <c r="E27" s="5">
        <f>807374.9012567317</f>
        <v>807374.9012567317</v>
      </c>
      <c r="F27" s="5">
        <f>822044.7687336936</f>
        <v>822044.7687336936</v>
      </c>
      <c r="G27" s="5">
        <f>837008.033560195</f>
        <v>837008.033560195</v>
      </c>
      <c r="H27" s="5">
        <f>852270.5636832257</f>
        <v>852270.5636832257</v>
      </c>
      <c r="I27" s="5">
        <f>867838.3444087176</f>
        <v>867838.3444087176</v>
      </c>
    </row>
    <row r="28" spans="1:9" x14ac:dyDescent="0.25">
      <c r="A28" t="s">
        <v>207</v>
      </c>
      <c r="C28" s="5">
        <f>174288.9583092695</f>
        <v>174288.9583092695</v>
      </c>
      <c r="D28" s="5">
        <f>190758.7722901476</f>
        <v>190758.7722901476</v>
      </c>
      <c r="E28" s="5">
        <f>201843.72531418293</f>
        <v>201843.72531418293</v>
      </c>
      <c r="F28" s="5">
        <f>205511.19218342332</f>
        <v>205511.19218342332</v>
      </c>
      <c r="G28" s="5">
        <f>209252.00839004864</f>
        <v>209252.00839004864</v>
      </c>
      <c r="H28" s="5">
        <f>213067.64092080633</f>
        <v>213067.64092080633</v>
      </c>
      <c r="I28" s="5">
        <f>216959.58610217937</f>
        <v>216959.58610217937</v>
      </c>
    </row>
    <row r="29" spans="1:9" x14ac:dyDescent="0.25">
      <c r="A29" t="s">
        <v>232</v>
      </c>
      <c r="C29" s="5">
        <f>IF(1=7,11878483.312021753,0)</f>
        <v>0</v>
      </c>
      <c r="D29" s="5">
        <f>IF(2=7,11878483.312021753,0)</f>
        <v>0</v>
      </c>
      <c r="E29" s="5">
        <f>IF(3=7,11878483.312021753,0)</f>
        <v>0</v>
      </c>
      <c r="F29" s="5">
        <f>IF(4=7,11878483.312021753,0)</f>
        <v>0</v>
      </c>
      <c r="G29" s="5">
        <f>IF(5=7,11878483.312021753,0)</f>
        <v>0</v>
      </c>
      <c r="H29" s="5">
        <f>IF(6=7,11878483.312021753,0)</f>
        <v>0</v>
      </c>
      <c r="I29" s="5">
        <f>IF(7=7,11878483.312021753,0)</f>
        <v>11878483.312021753</v>
      </c>
    </row>
    <row r="30" spans="1:9" x14ac:dyDescent="0.25">
      <c r="A30" t="s">
        <v>233</v>
      </c>
      <c r="C30" s="5">
        <f>IF(1=7,3308687.715130804,0)</f>
        <v>0</v>
      </c>
      <c r="D30" s="5">
        <f>IF(2=7,3308687.715130804,0)</f>
        <v>0</v>
      </c>
      <c r="E30" s="5">
        <f>IF(3=7,3308687.715130804,0)</f>
        <v>0</v>
      </c>
      <c r="F30" s="5">
        <f>IF(4=7,3308687.715130804,0)</f>
        <v>0</v>
      </c>
      <c r="G30" s="5">
        <f>IF(5=7,3308687.715130804,0)</f>
        <v>0</v>
      </c>
      <c r="H30" s="5">
        <f>IF(6=7,3308687.715130804,0)</f>
        <v>0</v>
      </c>
      <c r="I30" s="5">
        <f>IF(7=7,3308687.715130804,0)</f>
        <v>3308687.715130804</v>
      </c>
    </row>
    <row r="31" spans="1:9" x14ac:dyDescent="0.25">
      <c r="A31" t="s">
        <v>234</v>
      </c>
      <c r="C31" s="5">
        <f>(C17+C18)*(1-gp_pct)</f>
        <v>209916</v>
      </c>
      <c r="D31" s="5">
        <f>(D17+D18)*(1-gp_pct)</f>
        <v>0</v>
      </c>
      <c r="E31" s="5">
        <f>(E17+E18)*(1-gp_pct)</f>
        <v>0</v>
      </c>
      <c r="F31" s="5">
        <f>(F17+F18)*(1-gp_pct)</f>
        <v>0</v>
      </c>
      <c r="G31" s="5">
        <f>(G17+G18)*(1-gp_pct)</f>
        <v>0</v>
      </c>
      <c r="H31" s="5">
        <f>(H17+H18)*(1-gp_pct)</f>
        <v>0</v>
      </c>
      <c r="I31" s="5">
        <f>(I17+I18)*(1-gp_pct)</f>
        <v>0</v>
      </c>
    </row>
    <row r="32" spans="1:9" x14ac:dyDescent="0.25">
      <c r="A32" t="s">
        <v>235</v>
      </c>
      <c r="C32" s="5">
        <f>(C17+C18)*gp_pct</f>
        <v>52478.999999999985</v>
      </c>
      <c r="D32" s="5">
        <f>(D17+D18)*gp_pct</f>
        <v>0</v>
      </c>
      <c r="E32" s="5">
        <f>(E17+E18)*gp_pct</f>
        <v>0</v>
      </c>
      <c r="F32" s="5">
        <f>(F17+F18)*gp_pct</f>
        <v>0</v>
      </c>
      <c r="G32" s="5">
        <f>(G17+G18)*gp_pct</f>
        <v>0</v>
      </c>
      <c r="H32" s="5">
        <f>(H17+H18)*gp_pct</f>
        <v>0</v>
      </c>
      <c r="I32" s="5">
        <f>(I17+I18)*gp_pct</f>
        <v>0</v>
      </c>
    </row>
    <row r="33" spans="1:9" x14ac:dyDescent="0.25">
      <c r="A33" s="3" t="s">
        <v>236</v>
      </c>
      <c r="C33" s="5">
        <f>SUM(C27:C32)</f>
        <v>1133839.7915463478</v>
      </c>
      <c r="D33" s="5">
        <f>SUM(D27:D32)</f>
        <v>953793.8614507385</v>
      </c>
      <c r="E33" s="5">
        <f>SUM(E27:E32)</f>
        <v>1009218.6265709146</v>
      </c>
      <c r="F33" s="5">
        <f>SUM(F27:F32)</f>
        <v>1027555.960917117</v>
      </c>
      <c r="G33" s="5">
        <f>SUM(G27:G32)</f>
        <v>1046260.0419502436</v>
      </c>
      <c r="H33" s="5">
        <f>SUM(H27:H32)</f>
        <v>1065338.204604032</v>
      </c>
      <c r="I33" s="5">
        <f>SUM(I27:I32)</f>
        <v>16271968.957663454</v>
      </c>
    </row>
    <row r="35" spans="1:9" x14ac:dyDescent="0.25">
      <c r="A35" t="s">
        <v>237</v>
      </c>
      <c r="C35" s="5">
        <f>C16+C17+C18+C25</f>
        <v>1133839.7915463478</v>
      </c>
      <c r="D35" s="5">
        <f>D16+D17+D18+D25</f>
        <v>953793.8614507385</v>
      </c>
      <c r="E35" s="5">
        <f>E16+E17+E18+E25</f>
        <v>1009218.6265709146</v>
      </c>
      <c r="F35" s="5">
        <f>F16+F17+F18+F25</f>
        <v>1027555.960917117</v>
      </c>
      <c r="G35" s="5">
        <f>G16+G17+G18+G25</f>
        <v>1046260.0419502436</v>
      </c>
      <c r="H35" s="5">
        <f>H16+H17+H18+H25</f>
        <v>1065338.204604032</v>
      </c>
      <c r="I35" s="5">
        <f>I16+I17+I18+I25</f>
        <v>16271968.957663454</v>
      </c>
    </row>
    <row r="36" spans="1:9" x14ac:dyDescent="0.25">
      <c r="A36" t="s">
        <v>238</v>
      </c>
      <c r="C36" s="5">
        <f>C35-C33</f>
        <v>0</v>
      </c>
      <c r="D36" s="5">
        <f>D35-D33</f>
        <v>0</v>
      </c>
      <c r="E36" s="5">
        <f>E35-E33</f>
        <v>0</v>
      </c>
      <c r="F36" s="5">
        <f>F35-F33</f>
        <v>0</v>
      </c>
      <c r="G36" s="5">
        <f>G35-G33</f>
        <v>0</v>
      </c>
      <c r="H36" s="5">
        <f>H35-H33</f>
        <v>0</v>
      </c>
      <c r="I36" s="5">
        <f>I35-I33</f>
        <v>0</v>
      </c>
    </row>
    <row r="38" spans="1:9" x14ac:dyDescent="0.25">
      <c r="A38" t="s">
        <v>239</v>
      </c>
      <c r="B38" s="5">
        <f>-B9</f>
        <v>-10190926.1010101</v>
      </c>
      <c r="C38" s="5">
        <f>C27+C29+C31</f>
        <v>907071.8332370783</v>
      </c>
      <c r="D38" s="5">
        <f>D27+D29+D31</f>
        <v>763035.0891605909</v>
      </c>
      <c r="E38" s="5">
        <f>E27+E29+E31</f>
        <v>807374.9012567317</v>
      </c>
      <c r="F38" s="5">
        <f>F27+F29+F31</f>
        <v>822044.7687336936</v>
      </c>
      <c r="G38" s="5">
        <f>G27+G29+G31</f>
        <v>837008.033560195</v>
      </c>
      <c r="H38" s="5">
        <f>H27+H29+H31</f>
        <v>852270.5636832257</v>
      </c>
      <c r="I38" s="5">
        <f>I27+I29+I31</f>
        <v>12746321.65643047</v>
      </c>
    </row>
    <row r="39" spans="1:9" x14ac:dyDescent="0.25">
      <c r="A39" t="s">
        <v>240</v>
      </c>
      <c r="B39" s="5">
        <f>B38</f>
        <v>-10190926.1010101</v>
      </c>
      <c r="C39" s="5">
        <f>B39+C38</f>
        <v>-9283854.267773023</v>
      </c>
      <c r="D39" s="5">
        <f>C39+D38</f>
        <v>-8520819.178612432</v>
      </c>
      <c r="E39" s="5">
        <f>D39+E38</f>
        <v>-7713444.2773557</v>
      </c>
      <c r="F39" s="5">
        <f>E39+F38</f>
        <v>-6891399.5086220065</v>
      </c>
      <c r="G39" s="5">
        <f>F39+G38</f>
        <v>-6054391.4750618115</v>
      </c>
      <c r="H39" s="5">
        <f>G39+H38</f>
        <v>-5202120.911378586</v>
      </c>
      <c r="I39" s="5">
        <f>H39+I38</f>
        <v>7544200.745051884</v>
      </c>
    </row>
    <row r="42" spans="1:1" x14ac:dyDescent="0.25">
      <c r="A42" s="3" t="s">
        <v>241</v>
      </c>
    </row>
    <row r="43" spans="2:9" x14ac:dyDescent="0.25">
      <c r="B43" s="3" t="s">
        <v>221</v>
      </c>
      <c r="C43" s="3" t="s">
        <v>156</v>
      </c>
      <c r="D43" s="3" t="s">
        <v>157</v>
      </c>
      <c r="E43" s="3" t="s">
        <v>158</v>
      </c>
      <c r="F43" s="3" t="s">
        <v>159</v>
      </c>
      <c r="G43" s="3" t="s">
        <v>160</v>
      </c>
      <c r="H43" s="3" t="s">
        <v>161</v>
      </c>
      <c r="I43" s="3" t="s">
        <v>162</v>
      </c>
    </row>
    <row r="44" spans="1:2" x14ac:dyDescent="0.25">
      <c r="A44" t="s">
        <v>222</v>
      </c>
      <c r="B44" s="5">
        <f>-IF(Assumptions!$C$47&gt;0,tpc,cost_base)</f>
        <v>-12603571.428571431</v>
      </c>
    </row>
    <row r="45" spans="1:2" x14ac:dyDescent="0.25">
      <c r="A45" t="s">
        <v>15</v>
      </c>
      <c r="B45" s="5">
        <f>-IF(B47=0,0,(Assumptions!$C$51+Assumptions!$C$52+Assumptions!$C$54+Assumptions!$C$55)*B47+Assumptions!$C$53*units_c+Assumptions!$C$56)</f>
        <v>-143886.60714285713</v>
      </c>
    </row>
    <row r="46" spans="1:2" x14ac:dyDescent="0.25">
      <c r="A46" t="s">
        <v>17</v>
      </c>
      <c r="B46" s="5">
        <f>-vat_float</f>
        <v>-262395</v>
      </c>
    </row>
    <row r="47" spans="1:2" x14ac:dyDescent="0.25">
      <c r="A47" t="s">
        <v>223</v>
      </c>
      <c r="B47" s="5">
        <f>Assumptions!$C$47*tpc</f>
        <v>6301785.714285715</v>
      </c>
    </row>
    <row r="48" spans="1:2" x14ac:dyDescent="0.25">
      <c r="A48" t="s">
        <v>224</v>
      </c>
      <c r="B48" s="5">
        <f>(-(B44+B47+B45)-B46)*(1-gp_pct)</f>
        <v>5366453.857142858</v>
      </c>
    </row>
    <row r="49" spans="1:2" x14ac:dyDescent="0.25">
      <c r="A49" t="s">
        <v>225</v>
      </c>
      <c r="B49" s="5">
        <f>(-(B44+B47+B45)-B46)*gp_pct</f>
        <v>1341613.4642857146</v>
      </c>
    </row>
    <row r="50" spans="1:2" x14ac:dyDescent="0.25">
      <c r="A50" s="3" t="s">
        <v>226</v>
      </c>
      <c r="B50" s="5">
        <f>SUM(B44:B49)</f>
        <v>0</v>
      </c>
    </row>
    <row r="52" spans="1:9" x14ac:dyDescent="0.25">
      <c r="A52" t="s">
        <v>191</v>
      </c>
      <c r="C52" s="5">
        <f>'P&amp;L'!C32</f>
        <v>871444.7915463478</v>
      </c>
      <c r="D52" s="5">
        <f>'P&amp;L'!D32</f>
        <v>953793.8614507385</v>
      </c>
      <c r="E52" s="5">
        <f>'P&amp;L'!E32</f>
        <v>1009218.6265709146</v>
      </c>
      <c r="F52" s="5">
        <f>'P&amp;L'!F32</f>
        <v>1027555.960917117</v>
      </c>
      <c r="G52" s="5">
        <f>'P&amp;L'!G32</f>
        <v>1046260.0419502436</v>
      </c>
      <c r="H52" s="5">
        <f>'P&amp;L'!H32</f>
        <v>1065338.204604032</v>
      </c>
      <c r="I52" s="5">
        <f>'P&amp;L'!I32</f>
        <v>1084797.930510897</v>
      </c>
    </row>
    <row r="53" spans="1:9" x14ac:dyDescent="0.25">
      <c r="A53" t="s">
        <v>196</v>
      </c>
      <c r="C53" s="5">
        <f>IF(B47=0,0,CUMIPMT(Assumptions!$C$48/12,Assumptions!$C$49*12,B47,1,12,0))</f>
        <v>-168982.25512449731</v>
      </c>
      <c r="D53" s="5">
        <f>IF(B47=0,0,CUMIPMT(Assumptions!$C$48/12,Assumptions!$C$49*12,B47,13,24,0))</f>
        <v>-159396.50307450333</v>
      </c>
      <c r="E53" s="5">
        <f>IF(B47=0,0,CUMIPMT(Assumptions!$C$48/12,Assumptions!$C$49*12,B47,25,36,0))</f>
        <v>-149543.79476965382</v>
      </c>
      <c r="F53" s="5">
        <f>IF(B47=0,0,CUMIPMT(Assumptions!$C$48/12,Assumptions!$C$49*12,B47,37,48,0))</f>
        <v>-139416.69567151763</v>
      </c>
      <c r="G53" s="5">
        <f>IF(B47=0,0,CUMIPMT(Assumptions!$C$48/12,Assumptions!$C$49*12,B47,49,60,0))</f>
        <v>-129007.56419515067</v>
      </c>
      <c r="H53" s="5">
        <f>IF(B47=0,0,CUMIPMT(Assumptions!$C$48/12,Assumptions!$C$49*12,B47,61,72,0))</f>
        <v>-118308.54594300041</v>
      </c>
      <c r="I53" s="5">
        <f>IF(B47=0,0,CUMIPMT(Assumptions!$C$48/12,Assumptions!$C$49*12,B47,73,84,0))</f>
        <v>-107311.56777822885</v>
      </c>
    </row>
    <row r="54" spans="1:9" x14ac:dyDescent="0.25">
      <c r="A54" t="s">
        <v>197</v>
      </c>
      <c r="C54" s="5">
        <f>IF(B47=0,0,CUMPRINC(Assumptions!$C$48/12,Assumptions!$C$49*12,B47,1,12,0))</f>
        <v>-344201.1216918862</v>
      </c>
      <c r="D54" s="5">
        <f>IF(B47=0,0,CUMPRINC(Assumptions!$C$48/12,Assumptions!$C$49*12,B47,13,24,0))</f>
        <v>-353786.8737418802</v>
      </c>
      <c r="E54" s="5">
        <f>IF(B47=0,0,CUMPRINC(Assumptions!$C$48/12,Assumptions!$C$49*12,B47,25,36,0))</f>
        <v>-363639.5820467297</v>
      </c>
      <c r="F54" s="5">
        <f>IF(B47=0,0,CUMPRINC(Assumptions!$C$48/12,Assumptions!$C$49*12,B47,37,48,0))</f>
        <v>-373766.68114486587</v>
      </c>
      <c r="G54" s="5">
        <f>IF(B47=0,0,CUMPRINC(Assumptions!$C$48/12,Assumptions!$C$49*12,B47,49,60,0))</f>
        <v>-384175.8126212329</v>
      </c>
      <c r="H54" s="5">
        <f>IF(B47=0,0,CUMPRINC(Assumptions!$C$48/12,Assumptions!$C$49*12,B47,61,72,0))</f>
        <v>-394874.83087338303</v>
      </c>
      <c r="I54" s="5">
        <f>IF(B47=0,0,CUMPRINC(Assumptions!$C$48/12,Assumptions!$C$49*12,B47,73,84,0))</f>
        <v>-405871.8090381546</v>
      </c>
    </row>
    <row r="55" spans="1:9" x14ac:dyDescent="0.25">
      <c r="A55" t="s">
        <v>227</v>
      </c>
      <c r="C55" s="5">
        <f>C52+C53+C54</f>
        <v>358261.4147299642</v>
      </c>
      <c r="D55" s="5">
        <f>D52+D53+D54</f>
        <v>440610.48463435506</v>
      </c>
      <c r="E55" s="5">
        <f>E52+E53+E54</f>
        <v>496035.24975453113</v>
      </c>
      <c r="F55" s="5">
        <f>F52+F53+F54</f>
        <v>514372.58410073345</v>
      </c>
      <c r="G55" s="5">
        <f>G52+G53+G54</f>
        <v>533076.6651338602</v>
      </c>
      <c r="H55" s="5">
        <f>H52+H53+H54</f>
        <v>552154.8277876487</v>
      </c>
      <c r="I55" s="5">
        <f>I52+I53+I54</f>
        <v>571614.5536945134</v>
      </c>
    </row>
    <row r="56" spans="1:9" x14ac:dyDescent="0.25">
      <c r="A56" t="s">
        <v>228</v>
      </c>
      <c r="C56" s="5">
        <f>0</f>
        <v>0</v>
      </c>
      <c r="D56" s="5">
        <f>0</f>
        <v>0</v>
      </c>
      <c r="E56" s="5">
        <f>0</f>
        <v>0</v>
      </c>
      <c r="F56" s="5">
        <f>0</f>
        <v>0</v>
      </c>
      <c r="G56" s="5">
        <f>0</f>
        <v>0</v>
      </c>
      <c r="H56" s="5">
        <f>0</f>
        <v>0</v>
      </c>
      <c r="I56" s="5">
        <f>0</f>
        <v>0</v>
      </c>
    </row>
    <row r="57" spans="1:9" x14ac:dyDescent="0.25">
      <c r="A57" t="s">
        <v>229</v>
      </c>
      <c r="C57" s="5">
        <f>IF(1=MIN(MAX(1,ROUNDUP(vat_months/12,0)),7),-B46,0)</f>
        <v>262395</v>
      </c>
      <c r="D57" s="5">
        <f>IF(2=MIN(MAX(1,ROUNDUP(vat_months/12,0)),7),-B46,0)</f>
        <v>0</v>
      </c>
      <c r="E57" s="5">
        <f>IF(3=MIN(MAX(1,ROUNDUP(vat_months/12,0)),7),-B46,0)</f>
        <v>0</v>
      </c>
      <c r="F57" s="5">
        <f>IF(4=MIN(MAX(1,ROUNDUP(vat_months/12,0)),7),-B46,0)</f>
        <v>0</v>
      </c>
      <c r="G57" s="5">
        <f>IF(5=MIN(MAX(1,ROUNDUP(vat_months/12,0)),7),-B46,0)</f>
        <v>0</v>
      </c>
      <c r="H57" s="5">
        <f>IF(6=MIN(MAX(1,ROUNDUP(vat_months/12,0)),7),-B46,0)</f>
        <v>0</v>
      </c>
      <c r="I57" s="5">
        <f>IF(7=MIN(MAX(1,ROUNDUP(vat_months/12,0)),7),-B46,0)</f>
        <v>0</v>
      </c>
    </row>
    <row r="58" spans="1:9" x14ac:dyDescent="0.25">
      <c r="A58" t="s">
        <v>230</v>
      </c>
      <c r="C58" s="5">
        <f>C55+C56+C57</f>
        <v>620656.4147299642</v>
      </c>
      <c r="D58" s="5">
        <f>C58+D55+D56+D57</f>
        <v>1061266.8993643192</v>
      </c>
      <c r="E58" s="5">
        <f>D58+E55+E56+E57</f>
        <v>1557302.1491188502</v>
      </c>
      <c r="F58" s="5">
        <f>E58+F55+F56+F57</f>
        <v>2071674.7332195838</v>
      </c>
      <c r="G58" s="5">
        <f>F58+G55+G56+G57</f>
        <v>2604751.398353444</v>
      </c>
      <c r="H58" s="5">
        <f>G58+H55+H56+H57</f>
        <v>3156906.2261410924</v>
      </c>
      <c r="I58" s="5">
        <f>H58+I55+I56+I57</f>
        <v>3728520.779835606</v>
      </c>
    </row>
    <row r="59" spans="1:9" x14ac:dyDescent="0.25">
      <c r="A59" t="s">
        <v>231</v>
      </c>
      <c r="C59" s="7">
        <f>IF((C53+C54)=0,0,-C52/(C53+C54))</f>
        <v>1.6981157826126347</v>
      </c>
      <c r="D59" s="7">
        <f>IF((D53+D54)=0,0,-D52/(D53+D54))</f>
        <v>1.8585829248167658</v>
      </c>
      <c r="E59" s="7">
        <f>IF((E53+E54)=0,0,-E52/(E53+E54))</f>
        <v>1.9665847963193321</v>
      </c>
      <c r="F59" s="7">
        <f>IF((F53+F54)=0,0,-F52/(F53+F54))</f>
        <v>2.0023173145079785</v>
      </c>
      <c r="G59" s="7">
        <f>IF((G53+G54)=0,0,-G52/(G53+G54))</f>
        <v>2.038764483060398</v>
      </c>
      <c r="H59" s="7">
        <f>IF((H53+H54)=0,0,-H52/(H53+H54))</f>
        <v>2.075940594983865</v>
      </c>
      <c r="I59" s="7">
        <f>IF((I53+I54)=0,0,-I52/(I53+I54))</f>
        <v>2.113860229145802</v>
      </c>
    </row>
    <row r="61" spans="1:9" x14ac:dyDescent="0.25">
      <c r="A61" t="s">
        <v>26</v>
      </c>
      <c r="C61" s="5">
        <f>IF(1=7,'P&amp;L'!I32/cap,0)</f>
        <v>0</v>
      </c>
      <c r="D61" s="5">
        <f>IF(2=7,'P&amp;L'!I32/cap,0)</f>
        <v>0</v>
      </c>
      <c r="E61" s="5">
        <f>IF(3=7,'P&amp;L'!I32/cap,0)</f>
        <v>0</v>
      </c>
      <c r="F61" s="5">
        <f>IF(4=7,'P&amp;L'!I32/cap,0)</f>
        <v>0</v>
      </c>
      <c r="G61" s="5">
        <f>IF(5=7,'P&amp;L'!I32/cap,0)</f>
        <v>0</v>
      </c>
      <c r="H61" s="5">
        <f>IF(6=7,'P&amp;L'!I32/cap,0)</f>
        <v>0</v>
      </c>
      <c r="I61" s="5">
        <f>IF(7=7,'P&amp;L'!I32/cap,0)</f>
        <v>15497113.293012813</v>
      </c>
    </row>
    <row r="62" spans="1:9" x14ac:dyDescent="0.25">
      <c r="A62" t="s">
        <v>27</v>
      </c>
      <c r="C62" s="5">
        <f>-C61*sell_pct</f>
        <v>0</v>
      </c>
      <c r="D62" s="5">
        <f>-D61*sell_pct</f>
        <v>0</v>
      </c>
      <c r="E62" s="5">
        <f>-E61*sell_pct</f>
        <v>0</v>
      </c>
      <c r="F62" s="5">
        <f>-F61*sell_pct</f>
        <v>0</v>
      </c>
      <c r="G62" s="5">
        <f>-G61*sell_pct</f>
        <v>0</v>
      </c>
      <c r="H62" s="5">
        <f>-H61*sell_pct</f>
        <v>0</v>
      </c>
      <c r="I62" s="5">
        <f>-I61*sell_pct</f>
        <v>-309942.2658602558</v>
      </c>
    </row>
    <row r="63" spans="1:9" x14ac:dyDescent="0.25">
      <c r="A63" t="s">
        <v>28</v>
      </c>
      <c r="C63" s="5">
        <f>IF(1&lt;7,0,IF(B47=0,0,-(B47+CUMPRINC(Assumptions!$C$48/12,Assumptions!$C$49*12,B47,1,84,0))))</f>
        <v>0</v>
      </c>
      <c r="D63" s="5">
        <f>IF(2&lt;7,0,IF(B47=0,0,-(B47+CUMPRINC(Assumptions!$C$48/12,Assumptions!$C$49*12,B47,1,84,0))))</f>
        <v>0</v>
      </c>
      <c r="E63" s="5">
        <f>IF(3&lt;7,0,IF(B47=0,0,-(B47+CUMPRINC(Assumptions!$C$48/12,Assumptions!$C$49*12,B47,1,84,0))))</f>
        <v>0</v>
      </c>
      <c r="F63" s="5">
        <f>IF(4&lt;7,0,IF(B47=0,0,-(B47+CUMPRINC(Assumptions!$C$48/12,Assumptions!$C$49*12,B47,1,84,0))))</f>
        <v>0</v>
      </c>
      <c r="G63" s="5">
        <f>IF(5&lt;7,0,IF(B47=0,0,-(B47+CUMPRINC(Assumptions!$C$48/12,Assumptions!$C$49*12,B47,1,84,0))))</f>
        <v>0</v>
      </c>
      <c r="H63" s="5">
        <f>IF(6&lt;7,0,IF(B47=0,0,-(B47+CUMPRINC(Assumptions!$C$48/12,Assumptions!$C$49*12,B47,1,84,0))))</f>
        <v>0</v>
      </c>
      <c r="I63" s="5">
        <f>IF(7&lt;7,0,IF(B47=0,0,-(B47+CUMPRINC(Assumptions!$C$48/12,Assumptions!$C$49*12,B47,1,84,0))))</f>
        <v>-3681469.003127581</v>
      </c>
    </row>
    <row r="64" spans="1:9" x14ac:dyDescent="0.25">
      <c r="A64" t="s">
        <v>29</v>
      </c>
      <c r="C64" s="5">
        <f>C61+C62+C63</f>
        <v>0</v>
      </c>
      <c r="D64" s="5">
        <f>D61+D62+D63</f>
        <v>0</v>
      </c>
      <c r="E64" s="5">
        <f>E61+E62+E63</f>
        <v>0</v>
      </c>
      <c r="F64" s="5">
        <f>F61+F62+F63</f>
        <v>0</v>
      </c>
      <c r="G64" s="5">
        <f>G61+G62+G63</f>
        <v>0</v>
      </c>
      <c r="H64" s="5">
        <f>H61+H62+H63</f>
        <v>0</v>
      </c>
      <c r="I64" s="5">
        <f>I61+I62+I63</f>
        <v>11505702.024024976</v>
      </c>
    </row>
    <row r="66" spans="1:9" x14ac:dyDescent="0.25">
      <c r="A66" t="s">
        <v>206</v>
      </c>
      <c r="C66" s="5">
        <f>286609.1317839714</f>
        <v>286609.1317839714</v>
      </c>
      <c r="D66" s="5">
        <f>352488.3877074841</f>
        <v>352488.3877074841</v>
      </c>
      <c r="E66" s="5">
        <f>396828.19980362494</f>
        <v>396828.19980362494</v>
      </c>
      <c r="F66" s="5">
        <f>411498.0672805868</f>
        <v>411498.0672805868</v>
      </c>
      <c r="G66" s="5">
        <f>426461.3321070882</f>
        <v>426461.3321070882</v>
      </c>
      <c r="H66" s="5">
        <f>441723.86223011895</f>
        <v>441723.86223011895</v>
      </c>
      <c r="I66" s="5">
        <f>457291.64295561076</f>
        <v>457291.64295561076</v>
      </c>
    </row>
    <row r="67" spans="1:9" x14ac:dyDescent="0.25">
      <c r="A67" t="s">
        <v>207</v>
      </c>
      <c r="C67" s="5">
        <f>71652.28294599283</f>
        <v>71652.28294599283</v>
      </c>
      <c r="D67" s="5">
        <f>88122.09692687099</f>
        <v>88122.09692687099</v>
      </c>
      <c r="E67" s="5">
        <f>99207.04995090619</f>
        <v>99207.04995090619</v>
      </c>
      <c r="F67" s="5">
        <f>102874.51682014664</f>
        <v>102874.51682014664</v>
      </c>
      <c r="G67" s="5">
        <f>106615.33302677202</f>
        <v>106615.33302677202</v>
      </c>
      <c r="H67" s="5">
        <f>110430.96555752971</f>
        <v>110430.96555752971</v>
      </c>
      <c r="I67" s="5">
        <f>114322.91073890263</f>
        <v>114322.91073890263</v>
      </c>
    </row>
    <row r="68" spans="1:9" x14ac:dyDescent="0.25">
      <c r="A68" t="s">
        <v>232</v>
      </c>
      <c r="C68" s="5">
        <f>IF(1=7,8553993.110009396,0)</f>
        <v>0</v>
      </c>
      <c r="D68" s="5">
        <f>IF(2=7,8553993.110009396,0)</f>
        <v>0</v>
      </c>
      <c r="E68" s="5">
        <f>IF(3=7,8553993.110009396,0)</f>
        <v>0</v>
      </c>
      <c r="F68" s="5">
        <f>IF(4=7,8553993.110009396,0)</f>
        <v>0</v>
      </c>
      <c r="G68" s="5">
        <f>IF(5=7,8553993.110009396,0)</f>
        <v>0</v>
      </c>
      <c r="H68" s="5">
        <f>IF(6=7,8553993.110009396,0)</f>
        <v>0</v>
      </c>
      <c r="I68" s="5">
        <f>IF(7=7,8553993.110009396,0)</f>
        <v>8553993.110009396</v>
      </c>
    </row>
    <row r="69" spans="1:9" x14ac:dyDescent="0.25">
      <c r="A69" t="s">
        <v>233</v>
      </c>
      <c r="C69" s="5">
        <f>IF(1=7,2951708.91401558,0)</f>
        <v>0</v>
      </c>
      <c r="D69" s="5">
        <f>IF(2=7,2951708.91401558,0)</f>
        <v>0</v>
      </c>
      <c r="E69" s="5">
        <f>IF(3=7,2951708.91401558,0)</f>
        <v>0</v>
      </c>
      <c r="F69" s="5">
        <f>IF(4=7,2951708.91401558,0)</f>
        <v>0</v>
      </c>
      <c r="G69" s="5">
        <f>IF(5=7,2951708.91401558,0)</f>
        <v>0</v>
      </c>
      <c r="H69" s="5">
        <f>IF(6=7,2951708.91401558,0)</f>
        <v>0</v>
      </c>
      <c r="I69" s="5">
        <f>IF(7=7,2951708.91401558,0)</f>
        <v>2951708.91401558</v>
      </c>
    </row>
    <row r="70" spans="1:9" x14ac:dyDescent="0.25">
      <c r="A70" t="s">
        <v>234</v>
      </c>
      <c r="C70" s="5">
        <f>(C56+C57)*(1-gp_pct)</f>
        <v>209916.00000000003</v>
      </c>
      <c r="D70" s="5">
        <f>(D56+D57)*(1-gp_pct)</f>
        <v>0</v>
      </c>
      <c r="E70" s="5">
        <f>(E56+E57)*(1-gp_pct)</f>
        <v>0</v>
      </c>
      <c r="F70" s="5">
        <f>(F56+F57)*(1-gp_pct)</f>
        <v>0</v>
      </c>
      <c r="G70" s="5">
        <f>(G56+G57)*(1-gp_pct)</f>
        <v>0</v>
      </c>
      <c r="H70" s="5">
        <f>(H56+H57)*(1-gp_pct)</f>
        <v>0</v>
      </c>
      <c r="I70" s="5">
        <f>(I56+I57)*(1-gp_pct)</f>
        <v>0</v>
      </c>
    </row>
    <row r="71" spans="1:9" x14ac:dyDescent="0.25">
      <c r="A71" t="s">
        <v>235</v>
      </c>
      <c r="C71" s="5">
        <f>(C56+C57)*gp_pct</f>
        <v>52478.999999999956</v>
      </c>
      <c r="D71" s="5">
        <f>(D56+D57)*gp_pct</f>
        <v>0</v>
      </c>
      <c r="E71" s="5">
        <f>(E56+E57)*gp_pct</f>
        <v>0</v>
      </c>
      <c r="F71" s="5">
        <f>(F56+F57)*gp_pct</f>
        <v>0</v>
      </c>
      <c r="G71" s="5">
        <f>(G56+G57)*gp_pct</f>
        <v>0</v>
      </c>
      <c r="H71" s="5">
        <f>(H56+H57)*gp_pct</f>
        <v>0</v>
      </c>
      <c r="I71" s="5">
        <f>(I56+I57)*gp_pct</f>
        <v>0</v>
      </c>
    </row>
    <row r="72" spans="1:9" x14ac:dyDescent="0.25">
      <c r="A72" s="3" t="s">
        <v>236</v>
      </c>
      <c r="C72" s="5">
        <f>SUM(C66:C71)</f>
        <v>620656.4147299642</v>
      </c>
      <c r="D72" s="5">
        <f>SUM(D66:D71)</f>
        <v>440610.48463435506</v>
      </c>
      <c r="E72" s="5">
        <f>SUM(E66:E71)</f>
        <v>496035.24975453113</v>
      </c>
      <c r="F72" s="5">
        <f>SUM(F66:F71)</f>
        <v>514372.58410073345</v>
      </c>
      <c r="G72" s="5">
        <f>SUM(G66:G71)</f>
        <v>533076.6651338602</v>
      </c>
      <c r="H72" s="5">
        <f>SUM(H66:H71)</f>
        <v>552154.8277876487</v>
      </c>
      <c r="I72" s="5">
        <f>SUM(I66:I71)</f>
        <v>12077316.57771949</v>
      </c>
    </row>
    <row r="74" spans="1:9" x14ac:dyDescent="0.25">
      <c r="A74" t="s">
        <v>237</v>
      </c>
      <c r="C74" s="5">
        <f>C55+C56+C57+C64</f>
        <v>620656.4147299642</v>
      </c>
      <c r="D74" s="5">
        <f>D55+D56+D57+D64</f>
        <v>440610.48463435506</v>
      </c>
      <c r="E74" s="5">
        <f>E55+E56+E57+E64</f>
        <v>496035.24975453113</v>
      </c>
      <c r="F74" s="5">
        <f>F55+F56+F57+F64</f>
        <v>514372.58410073345</v>
      </c>
      <c r="G74" s="5">
        <f>G55+G56+G57+G64</f>
        <v>533076.6651338602</v>
      </c>
      <c r="H74" s="5">
        <f>H55+H56+H57+H64</f>
        <v>552154.8277876487</v>
      </c>
      <c r="I74" s="5">
        <f>I55+I56+I57+I64</f>
        <v>12077316.57771949</v>
      </c>
    </row>
    <row r="75" spans="1:9" x14ac:dyDescent="0.25">
      <c r="A75" t="s">
        <v>238</v>
      </c>
      <c r="C75" s="5">
        <f>C74-C72</f>
        <v>0</v>
      </c>
      <c r="D75" s="5">
        <f>D74-D72</f>
        <v>0</v>
      </c>
      <c r="E75" s="5">
        <f>E74-E72</f>
        <v>0</v>
      </c>
      <c r="F75" s="5">
        <f>F74-F72</f>
        <v>0</v>
      </c>
      <c r="G75" s="5">
        <f>G74-G72</f>
        <v>0</v>
      </c>
      <c r="H75" s="5">
        <f>H74-H72</f>
        <v>0</v>
      </c>
      <c r="I75" s="5">
        <f>I74-I72</f>
        <v>0</v>
      </c>
    </row>
    <row r="77" spans="1:9" x14ac:dyDescent="0.25">
      <c r="A77" t="s">
        <v>239</v>
      </c>
      <c r="B77" s="5">
        <f>-B48</f>
        <v>-5366453.857142858</v>
      </c>
      <c r="C77" s="5">
        <f>C66+C68+C70</f>
        <v>496525.13178397145</v>
      </c>
      <c r="D77" s="5">
        <f>D66+D68+D70</f>
        <v>352488.3877074841</v>
      </c>
      <c r="E77" s="5">
        <f>E66+E68+E70</f>
        <v>396828.19980362494</v>
      </c>
      <c r="F77" s="5">
        <f>F66+F68+F70</f>
        <v>411498.0672805868</v>
      </c>
      <c r="G77" s="5">
        <f>G66+G68+G70</f>
        <v>426461.3321070882</v>
      </c>
      <c r="H77" s="5">
        <f>H66+H68+H70</f>
        <v>441723.86223011895</v>
      </c>
      <c r="I77" s="5">
        <f>I66+I68+I70</f>
        <v>9011284.752965007</v>
      </c>
    </row>
    <row r="78" spans="1:9" x14ac:dyDescent="0.25">
      <c r="A78" t="s">
        <v>240</v>
      </c>
      <c r="B78" s="5">
        <f>B77</f>
        <v>-5366453.857142858</v>
      </c>
      <c r="C78" s="5">
        <f>B78+C77</f>
        <v>-4869928.725358887</v>
      </c>
      <c r="D78" s="5">
        <f>C78+D77</f>
        <v>-4517440.337651403</v>
      </c>
      <c r="E78" s="5">
        <f>D78+E77</f>
        <v>-4120612.137847778</v>
      </c>
      <c r="F78" s="5">
        <f>E78+F77</f>
        <v>-3709114.070567191</v>
      </c>
      <c r="G78" s="5">
        <f>F78+G77</f>
        <v>-3282652.738460103</v>
      </c>
      <c r="H78" s="5">
        <f>G78+H77</f>
        <v>-2840928.876229984</v>
      </c>
      <c r="I78" s="5">
        <f>H78+I77</f>
        <v>6170355.876735022</v>
      </c>
    </row>
    <row r="81" spans="1:1" x14ac:dyDescent="0.25">
      <c r="A81" s="3" t="s">
        <v>242</v>
      </c>
    </row>
    <row r="82" spans="2:9" x14ac:dyDescent="0.25">
      <c r="B82" s="3" t="s">
        <v>221</v>
      </c>
      <c r="C82" s="3" t="s">
        <v>156</v>
      </c>
      <c r="D82" s="3" t="s">
        <v>157</v>
      </c>
      <c r="E82" s="3" t="s">
        <v>158</v>
      </c>
      <c r="F82" s="3" t="s">
        <v>159</v>
      </c>
      <c r="G82" s="3" t="s">
        <v>160</v>
      </c>
      <c r="H82" s="3" t="s">
        <v>161</v>
      </c>
      <c r="I82" s="3" t="s">
        <v>162</v>
      </c>
    </row>
    <row r="83" spans="1:2" x14ac:dyDescent="0.25">
      <c r="A83" t="s">
        <v>222</v>
      </c>
      <c r="B83" s="5">
        <f>-IF(Assumptions!$D$47&gt;0,tpc,cost_base)</f>
        <v>-12603571.42857143</v>
      </c>
    </row>
    <row r="84" spans="1:2" x14ac:dyDescent="0.25">
      <c r="A84" t="s">
        <v>15</v>
      </c>
      <c r="B84" s="5">
        <f>-IF(B86=0,0,(Assumptions!$D$51+Assumptions!$D$52+Assumptions!$D$54+Assumptions!$D$55)*B86+Assumptions!$D$53*units_c+Assumptions!$D$56)</f>
        <v>-182642.5892857143</v>
      </c>
    </row>
    <row r="85" spans="1:2" x14ac:dyDescent="0.25">
      <c r="A85" t="s">
        <v>17</v>
      </c>
      <c r="B85" s="5">
        <f>-vat_float</f>
        <v>-262395</v>
      </c>
    </row>
    <row r="86" spans="1:2" x14ac:dyDescent="0.25">
      <c r="A86" t="s">
        <v>223</v>
      </c>
      <c r="B86" s="5">
        <f>Assumptions!$D$47*tpc</f>
        <v>8192321.428571429</v>
      </c>
    </row>
    <row r="87" spans="1:2" x14ac:dyDescent="0.25">
      <c r="A87" t="s">
        <v>224</v>
      </c>
      <c r="B87" s="5">
        <f>(-(B83+B86+B84)-B85)*(1-gp_pct)</f>
        <v>3885030.071428572</v>
      </c>
    </row>
    <row r="88" spans="1:2" x14ac:dyDescent="0.25">
      <c r="A88" t="s">
        <v>225</v>
      </c>
      <c r="B88" s="5">
        <f>(-(B83+B86+B84)-B85)*gp_pct</f>
        <v>971257.517857143</v>
      </c>
    </row>
    <row r="89" spans="1:2" x14ac:dyDescent="0.25">
      <c r="A89" s="3" t="s">
        <v>226</v>
      </c>
      <c r="B89" s="5">
        <f>SUM(B83:B88)</f>
        <v>0</v>
      </c>
    </row>
    <row r="91" spans="1:9" x14ac:dyDescent="0.25">
      <c r="A91" t="s">
        <v>191</v>
      </c>
      <c r="C91" s="5">
        <f>'P&amp;L'!C32</f>
        <v>871444.7915463478</v>
      </c>
      <c r="D91" s="5">
        <f>'P&amp;L'!D32</f>
        <v>953793.8614507385</v>
      </c>
      <c r="E91" s="5">
        <f>'P&amp;L'!E32</f>
        <v>1009218.6265709146</v>
      </c>
      <c r="F91" s="5">
        <f>'P&amp;L'!F32</f>
        <v>1027555.960917117</v>
      </c>
      <c r="G91" s="5">
        <f>'P&amp;L'!G32</f>
        <v>1046260.0419502436</v>
      </c>
      <c r="H91" s="5">
        <f>'P&amp;L'!H32</f>
        <v>1065338.204604032</v>
      </c>
      <c r="I91" s="5">
        <f>'P&amp;L'!I32</f>
        <v>1084797.930510897</v>
      </c>
    </row>
    <row r="92" spans="1:9" x14ac:dyDescent="0.25">
      <c r="A92" t="s">
        <v>196</v>
      </c>
      <c r="C92" s="5">
        <f>IF(B86=0,0,CUMIPMT(Assumptions!$D$48/12,Assumptions!$D$49*12,B86,1,12,0))</f>
        <v>-219676.93166184647</v>
      </c>
      <c r="D92" s="5">
        <f>IF(B86=0,0,CUMIPMT(Assumptions!$D$48/12,Assumptions!$D$49*12,B86,13,24,0))</f>
        <v>-207215.4539968544</v>
      </c>
      <c r="E92" s="5">
        <f>IF(B86=0,0,CUMIPMT(Assumptions!$D$48/12,Assumptions!$D$49*12,B86,25,36,0))</f>
        <v>-194406.93320055</v>
      </c>
      <c r="F92" s="5">
        <f>IF(B86=0,0,CUMIPMT(Assumptions!$D$48/12,Assumptions!$D$49*12,B86,37,48,0))</f>
        <v>-181241.70437297295</v>
      </c>
      <c r="G92" s="5">
        <f>IF(B86=0,0,CUMIPMT(Assumptions!$D$48/12,Assumptions!$D$49*12,B86,49,60,0))</f>
        <v>-167709.8334536959</v>
      </c>
      <c r="H92" s="5">
        <f>IF(B86=0,0,CUMIPMT(Assumptions!$D$48/12,Assumptions!$D$49*12,B86,61,72,0))</f>
        <v>-153801.1097259006</v>
      </c>
      <c r="I92" s="5">
        <f>IF(B86=0,0,CUMIPMT(Assumptions!$D$48/12,Assumptions!$D$49*12,B86,73,84,0))</f>
        <v>-139505.03811169762</v>
      </c>
    </row>
    <row r="93" spans="1:9" x14ac:dyDescent="0.25">
      <c r="A93" t="s">
        <v>197</v>
      </c>
      <c r="C93" s="5">
        <f>IF(B86=0,0,CUMPRINC(Assumptions!$D$48/12,Assumptions!$D$49*12,B86,1,12,0))</f>
        <v>-447461.458199452</v>
      </c>
      <c r="D93" s="5">
        <f>IF(B86=0,0,CUMPRINC(Assumptions!$D$48/12,Assumptions!$D$49*12,B86,13,24,0))</f>
        <v>-459922.93586444407</v>
      </c>
      <c r="E93" s="5">
        <f>IF(B86=0,0,CUMPRINC(Assumptions!$D$48/12,Assumptions!$D$49*12,B86,25,36,0))</f>
        <v>-472731.4566607485</v>
      </c>
      <c r="F93" s="5">
        <f>IF(B86=0,0,CUMPRINC(Assumptions!$D$48/12,Assumptions!$D$49*12,B86,37,48,0))</f>
        <v>-485896.68548832554</v>
      </c>
      <c r="G93" s="5">
        <f>IF(B86=0,0,CUMPRINC(Assumptions!$D$48/12,Assumptions!$D$49*12,B86,49,60,0))</f>
        <v>-499428.5564076026</v>
      </c>
      <c r="H93" s="5">
        <f>IF(B86=0,0,CUMPRINC(Assumptions!$D$48/12,Assumptions!$D$49*12,B86,61,72,0))</f>
        <v>-513337.2801353979</v>
      </c>
      <c r="I93" s="5">
        <f>IF(B86=0,0,CUMPRINC(Assumptions!$D$48/12,Assumptions!$D$49*12,B86,73,84,0))</f>
        <v>-527633.3517496008</v>
      </c>
    </row>
    <row r="94" spans="1:9" x14ac:dyDescent="0.25">
      <c r="A94" t="s">
        <v>227</v>
      </c>
      <c r="C94" s="5">
        <f>C91+C92+C93</f>
        <v>204306.4016850493</v>
      </c>
      <c r="D94" s="5">
        <f>D91+D92+D93</f>
        <v>286655.4715894401</v>
      </c>
      <c r="E94" s="5">
        <f>E91+E92+E93</f>
        <v>342080.2367096161</v>
      </c>
      <c r="F94" s="5">
        <f>F91+F92+F93</f>
        <v>360417.57105581847</v>
      </c>
      <c r="G94" s="5">
        <f>G91+G92+G93</f>
        <v>379121.65208894515</v>
      </c>
      <c r="H94" s="5">
        <f>H91+H92+H93</f>
        <v>398199.8147427335</v>
      </c>
      <c r="I94" s="5">
        <f>I91+I92+I93</f>
        <v>417659.54064959846</v>
      </c>
    </row>
    <row r="95" spans="1:9" x14ac:dyDescent="0.25">
      <c r="A95" t="s">
        <v>228</v>
      </c>
      <c r="C95" s="5">
        <f>0</f>
        <v>0</v>
      </c>
      <c r="D95" s="5">
        <f>0</f>
        <v>0</v>
      </c>
      <c r="E95" s="5">
        <f>0</f>
        <v>0</v>
      </c>
      <c r="F95" s="5">
        <f>0</f>
        <v>0</v>
      </c>
      <c r="G95" s="5">
        <f>0</f>
        <v>0</v>
      </c>
      <c r="H95" s="5">
        <f>0</f>
        <v>0</v>
      </c>
      <c r="I95" s="5">
        <f>0</f>
        <v>0</v>
      </c>
    </row>
    <row r="96" spans="1:9" x14ac:dyDescent="0.25">
      <c r="A96" t="s">
        <v>229</v>
      </c>
      <c r="C96" s="5">
        <f>IF(1=MIN(MAX(1,ROUNDUP(vat_months/12,0)),7),-B85,0)</f>
        <v>262395</v>
      </c>
      <c r="D96" s="5">
        <f>IF(2=MIN(MAX(1,ROUNDUP(vat_months/12,0)),7),-B85,0)</f>
        <v>0</v>
      </c>
      <c r="E96" s="5">
        <f>IF(3=MIN(MAX(1,ROUNDUP(vat_months/12,0)),7),-B85,0)</f>
        <v>0</v>
      </c>
      <c r="F96" s="5">
        <f>IF(4=MIN(MAX(1,ROUNDUP(vat_months/12,0)),7),-B85,0)</f>
        <v>0</v>
      </c>
      <c r="G96" s="5">
        <f>IF(5=MIN(MAX(1,ROUNDUP(vat_months/12,0)),7),-B85,0)</f>
        <v>0</v>
      </c>
      <c r="H96" s="5">
        <f>IF(6=MIN(MAX(1,ROUNDUP(vat_months/12,0)),7),-B85,0)</f>
        <v>0</v>
      </c>
      <c r="I96" s="5">
        <f>IF(7=MIN(MAX(1,ROUNDUP(vat_months/12,0)),7),-B85,0)</f>
        <v>0</v>
      </c>
    </row>
    <row r="97" spans="1:9" x14ac:dyDescent="0.25">
      <c r="A97" t="s">
        <v>230</v>
      </c>
      <c r="C97" s="5">
        <f>C94+C95+C96</f>
        <v>466701.4016850493</v>
      </c>
      <c r="D97" s="5">
        <f>C97+D94+D95+D96</f>
        <v>753356.8732744893</v>
      </c>
      <c r="E97" s="5">
        <f>D97+E94+E95+E96</f>
        <v>1095437.1099841055</v>
      </c>
      <c r="F97" s="5">
        <f>E97+F94+F95+F96</f>
        <v>1455854.6810399238</v>
      </c>
      <c r="G97" s="5">
        <f>F97+G94+G95+G96</f>
        <v>1834976.333128869</v>
      </c>
      <c r="H97" s="5">
        <f>G97+H94+H95+H96</f>
        <v>2233176.1478716023</v>
      </c>
      <c r="I97" s="5">
        <f>H97+I94+I95+I96</f>
        <v>2650835.688521201</v>
      </c>
    </row>
    <row r="98" spans="1:9" x14ac:dyDescent="0.25">
      <c r="A98" t="s">
        <v>231</v>
      </c>
      <c r="C98" s="7">
        <f>IF((C92+C93)=0,0,-C91/(C92+C93))</f>
        <v>1.306242909702027</v>
      </c>
      <c r="D98" s="7">
        <f>IF((D92+D93)=0,0,-D91/(D92+D93))</f>
        <v>1.429679172935974</v>
      </c>
      <c r="E98" s="7">
        <f>IF((E92+E93)=0,0,-E91/(E92+E93))</f>
        <v>1.5127575356302556</v>
      </c>
      <c r="F98" s="7">
        <f>IF((F92+F93)=0,0,-F91/(F92+F93))</f>
        <v>1.5402440880830603</v>
      </c>
      <c r="G98" s="7">
        <f>IF((G92+G93)=0,0,-G91/(G92+G93))</f>
        <v>1.5682803715849218</v>
      </c>
      <c r="H98" s="7">
        <f>IF((H92+H93)=0,0,-H91/(H92+H93))</f>
        <v>1.596877380756819</v>
      </c>
      <c r="I98" s="7">
        <f>IF((I92+I93)=0,0,-I91/(I92+I93))</f>
        <v>1.6260463301121557</v>
      </c>
    </row>
    <row r="100" spans="1:9" x14ac:dyDescent="0.25">
      <c r="A100" t="s">
        <v>26</v>
      </c>
      <c r="C100" s="5">
        <f>IF(1=7,'P&amp;L'!I32/cap,0)</f>
        <v>0</v>
      </c>
      <c r="D100" s="5">
        <f>IF(2=7,'P&amp;L'!I32/cap,0)</f>
        <v>0</v>
      </c>
      <c r="E100" s="5">
        <f>IF(3=7,'P&amp;L'!I32/cap,0)</f>
        <v>0</v>
      </c>
      <c r="F100" s="5">
        <f>IF(4=7,'P&amp;L'!I32/cap,0)</f>
        <v>0</v>
      </c>
      <c r="G100" s="5">
        <f>IF(5=7,'P&amp;L'!I32/cap,0)</f>
        <v>0</v>
      </c>
      <c r="H100" s="5">
        <f>IF(6=7,'P&amp;L'!I32/cap,0)</f>
        <v>0</v>
      </c>
      <c r="I100" s="5">
        <f>IF(7=7,'P&amp;L'!I32/cap,0)</f>
        <v>15497113.293012813</v>
      </c>
    </row>
    <row r="101" spans="1:9" x14ac:dyDescent="0.25">
      <c r="A101" t="s">
        <v>27</v>
      </c>
      <c r="C101" s="5">
        <f>-C100*sell_pct</f>
        <v>0</v>
      </c>
      <c r="D101" s="5">
        <f>-D100*sell_pct</f>
        <v>0</v>
      </c>
      <c r="E101" s="5">
        <f>-E100*sell_pct</f>
        <v>0</v>
      </c>
      <c r="F101" s="5">
        <f>-F100*sell_pct</f>
        <v>0</v>
      </c>
      <c r="G101" s="5">
        <f>-G100*sell_pct</f>
        <v>0</v>
      </c>
      <c r="H101" s="5">
        <f>-H100*sell_pct</f>
        <v>0</v>
      </c>
      <c r="I101" s="5">
        <f>-I100*sell_pct</f>
        <v>-309942.2658602558</v>
      </c>
    </row>
    <row r="102" spans="1:9" x14ac:dyDescent="0.25">
      <c r="A102" t="s">
        <v>28</v>
      </c>
      <c r="C102" s="5">
        <f>IF(1&lt;7,0,IF(B86=0,0,-(B86+CUMPRINC(Assumptions!$D$48/12,Assumptions!$D$49*12,B86,1,84,0))))</f>
        <v>0</v>
      </c>
      <c r="D102" s="5">
        <f>IF(2&lt;7,0,IF(B86=0,0,-(B86+CUMPRINC(Assumptions!$D$48/12,Assumptions!$D$49*12,B86,1,84,0))))</f>
        <v>0</v>
      </c>
      <c r="E102" s="5">
        <f>IF(3&lt;7,0,IF(B86=0,0,-(B86+CUMPRINC(Assumptions!$D$48/12,Assumptions!$D$49*12,B86,1,84,0))))</f>
        <v>0</v>
      </c>
      <c r="F102" s="5">
        <f>IF(4&lt;7,0,IF(B86=0,0,-(B86+CUMPRINC(Assumptions!$D$48/12,Assumptions!$D$49*12,B86,1,84,0))))</f>
        <v>0</v>
      </c>
      <c r="G102" s="5">
        <f>IF(5&lt;7,0,IF(B86=0,0,-(B86+CUMPRINC(Assumptions!$D$48/12,Assumptions!$D$49*12,B86,1,84,0))))</f>
        <v>0</v>
      </c>
      <c r="H102" s="5">
        <f>IF(6&lt;7,0,IF(B86=0,0,-(B86+CUMPRINC(Assumptions!$D$48/12,Assumptions!$D$49*12,B86,1,84,0))))</f>
        <v>0</v>
      </c>
      <c r="I102" s="5">
        <f>IF(7&lt;7,0,IF(B86=0,0,-(B86+CUMPRINC(Assumptions!$D$48/12,Assumptions!$D$49*12,B86,1,84,0))))</f>
        <v>-4785909.704065859</v>
      </c>
    </row>
    <row r="103" spans="1:9" x14ac:dyDescent="0.25">
      <c r="A103" t="s">
        <v>29</v>
      </c>
      <c r="C103" s="5">
        <f>C100+C101+C102</f>
        <v>0</v>
      </c>
      <c r="D103" s="5">
        <f>D100+D101+D102</f>
        <v>0</v>
      </c>
      <c r="E103" s="5">
        <f>E100+E101+E102</f>
        <v>0</v>
      </c>
      <c r="F103" s="5">
        <f>F100+F101+F102</f>
        <v>0</v>
      </c>
      <c r="G103" s="5">
        <f>G100+G101+G102</f>
        <v>0</v>
      </c>
      <c r="H103" s="5">
        <f>H100+H101+H102</f>
        <v>0</v>
      </c>
      <c r="I103" s="5">
        <f>I100+I101+I102</f>
        <v>10401261.323086698</v>
      </c>
    </row>
    <row r="105" spans="1:9" x14ac:dyDescent="0.25">
      <c r="A105" t="s">
        <v>206</v>
      </c>
      <c r="C105" s="5">
        <f>163445.12134803945</f>
        <v>163445.12134803945</v>
      </c>
      <c r="D105" s="5">
        <f>229324.37727155208</f>
        <v>229324.37727155208</v>
      </c>
      <c r="E105" s="5">
        <f>273664.18936769286</f>
        <v>273664.18936769286</v>
      </c>
      <c r="F105" s="5">
        <f>288334.0568446548</f>
        <v>288334.0568446548</v>
      </c>
      <c r="G105" s="5">
        <f>303297.32167115615</f>
        <v>303297.32167115615</v>
      </c>
      <c r="H105" s="5">
        <f>318559.8517941868</f>
        <v>318559.8517941868</v>
      </c>
      <c r="I105" s="5">
        <f>334127.6325196788</f>
        <v>334127.6325196788</v>
      </c>
    </row>
    <row r="106" spans="1:9" x14ac:dyDescent="0.25">
      <c r="A106" t="s">
        <v>207</v>
      </c>
      <c r="C106" s="5">
        <f>40861.28033700984</f>
        <v>40861.28033700984</v>
      </c>
      <c r="D106" s="5">
        <f>57331.094317888</f>
        <v>57331.094317888</v>
      </c>
      <c r="E106" s="5">
        <f>68416.04734192323</f>
        <v>68416.04734192323</v>
      </c>
      <c r="F106" s="5">
        <f>72083.51421116368</f>
        <v>72083.51421116368</v>
      </c>
      <c r="G106" s="5">
        <f>75824.330417789</f>
        <v>75824.330417789</v>
      </c>
      <c r="H106" s="5">
        <f>79639.96294854669</f>
        <v>79639.96294854669</v>
      </c>
      <c r="I106" s="5">
        <f>83531.90812991967</f>
        <v>83531.90812991967</v>
      </c>
    </row>
    <row r="107" spans="1:9" x14ac:dyDescent="0.25">
      <c r="A107" t="s">
        <v>232</v>
      </c>
      <c r="C107" s="5">
        <f>IF(1=7,7446714.158531415,0)</f>
        <v>0</v>
      </c>
      <c r="D107" s="5">
        <f>IF(2=7,7446714.158531415,0)</f>
        <v>0</v>
      </c>
      <c r="E107" s="5">
        <f>IF(3=7,7446714.158531415,0)</f>
        <v>0</v>
      </c>
      <c r="F107" s="5">
        <f>IF(4=7,7446714.158531415,0)</f>
        <v>0</v>
      </c>
      <c r="G107" s="5">
        <f>IF(5=7,7446714.158531415,0)</f>
        <v>0</v>
      </c>
      <c r="H107" s="5">
        <f>IF(6=7,7446714.158531415,0)</f>
        <v>0</v>
      </c>
      <c r="I107" s="5">
        <f>IF(7=7,7446714.158531415,0)</f>
        <v>7446714.158531415</v>
      </c>
    </row>
    <row r="108" spans="1:9" x14ac:dyDescent="0.25">
      <c r="A108" t="s">
        <v>233</v>
      </c>
      <c r="C108" s="5">
        <f>IF(1=7,2954547.1645552823,0)</f>
        <v>0</v>
      </c>
      <c r="D108" s="5">
        <f>IF(2=7,2954547.1645552823,0)</f>
        <v>0</v>
      </c>
      <c r="E108" s="5">
        <f>IF(3=7,2954547.1645552823,0)</f>
        <v>0</v>
      </c>
      <c r="F108" s="5">
        <f>IF(4=7,2954547.1645552823,0)</f>
        <v>0</v>
      </c>
      <c r="G108" s="5">
        <f>IF(5=7,2954547.1645552823,0)</f>
        <v>0</v>
      </c>
      <c r="H108" s="5">
        <f>IF(6=7,2954547.1645552823,0)</f>
        <v>0</v>
      </c>
      <c r="I108" s="5">
        <f>IF(7=7,2954547.1645552823,0)</f>
        <v>2954547.1645552823</v>
      </c>
    </row>
    <row r="109" spans="1:9" x14ac:dyDescent="0.25">
      <c r="A109" t="s">
        <v>234</v>
      </c>
      <c r="C109" s="5">
        <f>(C95+C96)*(1-gp_pct)</f>
        <v>209916</v>
      </c>
      <c r="D109" s="5">
        <f>(D95+D96)*(1-gp_pct)</f>
        <v>0</v>
      </c>
      <c r="E109" s="5">
        <f>(E95+E96)*(1-gp_pct)</f>
        <v>0</v>
      </c>
      <c r="F109" s="5">
        <f>(F95+F96)*(1-gp_pct)</f>
        <v>0</v>
      </c>
      <c r="G109" s="5">
        <f>(G95+G96)*(1-gp_pct)</f>
        <v>0</v>
      </c>
      <c r="H109" s="5">
        <f>(H95+H96)*(1-gp_pct)</f>
        <v>0</v>
      </c>
      <c r="I109" s="5">
        <f>(I95+I96)*(1-gp_pct)</f>
        <v>0</v>
      </c>
    </row>
    <row r="110" spans="1:9" x14ac:dyDescent="0.25">
      <c r="A110" t="s">
        <v>235</v>
      </c>
      <c r="C110" s="5">
        <f>(C95+C96)*gp_pct</f>
        <v>52478.999999999985</v>
      </c>
      <c r="D110" s="5">
        <f>(D95+D96)*gp_pct</f>
        <v>0</v>
      </c>
      <c r="E110" s="5">
        <f>(E95+E96)*gp_pct</f>
        <v>0</v>
      </c>
      <c r="F110" s="5">
        <f>(F95+F96)*gp_pct</f>
        <v>0</v>
      </c>
      <c r="G110" s="5">
        <f>(G95+G96)*gp_pct</f>
        <v>0</v>
      </c>
      <c r="H110" s="5">
        <f>(H95+H96)*gp_pct</f>
        <v>0</v>
      </c>
      <c r="I110" s="5">
        <f>(I95+I96)*gp_pct</f>
        <v>0</v>
      </c>
    </row>
    <row r="111" spans="1:9" x14ac:dyDescent="0.25">
      <c r="A111" s="3" t="s">
        <v>236</v>
      </c>
      <c r="C111" s="5">
        <f>SUM(C105:C110)</f>
        <v>466701.4016850493</v>
      </c>
      <c r="D111" s="5">
        <f>SUM(D105:D110)</f>
        <v>286655.4715894401</v>
      </c>
      <c r="E111" s="5">
        <f>SUM(E105:E110)</f>
        <v>342080.2367096161</v>
      </c>
      <c r="F111" s="5">
        <f>SUM(F105:F110)</f>
        <v>360417.57105581847</v>
      </c>
      <c r="G111" s="5">
        <f>SUM(G105:G110)</f>
        <v>379121.65208894515</v>
      </c>
      <c r="H111" s="5">
        <f>SUM(H105:H110)</f>
        <v>398199.8147427335</v>
      </c>
      <c r="I111" s="5">
        <f>SUM(I105:I110)</f>
        <v>10818920.863736296</v>
      </c>
    </row>
    <row r="113" spans="1:9" x14ac:dyDescent="0.25">
      <c r="A113" t="s">
        <v>237</v>
      </c>
      <c r="C113" s="5">
        <f>C94+C95+C96+C103</f>
        <v>466701.4016850493</v>
      </c>
      <c r="D113" s="5">
        <f>D94+D95+D96+D103</f>
        <v>286655.4715894401</v>
      </c>
      <c r="E113" s="5">
        <f>E94+E95+E96+E103</f>
        <v>342080.2367096161</v>
      </c>
      <c r="F113" s="5">
        <f>F94+F95+F96+F103</f>
        <v>360417.57105581847</v>
      </c>
      <c r="G113" s="5">
        <f>G94+G95+G96+G103</f>
        <v>379121.65208894515</v>
      </c>
      <c r="H113" s="5">
        <f>H94+H95+H96+H103</f>
        <v>398199.8147427335</v>
      </c>
      <c r="I113" s="5">
        <f>I94+I95+I96+I103</f>
        <v>10818920.863736296</v>
      </c>
    </row>
    <row r="114" spans="1:9" x14ac:dyDescent="0.25">
      <c r="A114" t="s">
        <v>238</v>
      </c>
      <c r="C114" s="5">
        <f>C113-C111</f>
        <v>0</v>
      </c>
      <c r="D114" s="5">
        <f>D113-D111</f>
        <v>0</v>
      </c>
      <c r="E114" s="5">
        <f>E113-E111</f>
        <v>0</v>
      </c>
      <c r="F114" s="5">
        <f>F113-F111</f>
        <v>0</v>
      </c>
      <c r="G114" s="5">
        <f>G113-G111</f>
        <v>0</v>
      </c>
      <c r="H114" s="5">
        <f>H113-H111</f>
        <v>0</v>
      </c>
      <c r="I114" s="5">
        <f>I113-I111</f>
        <v>0</v>
      </c>
    </row>
    <row r="116" spans="1:9" x14ac:dyDescent="0.25">
      <c r="A116" t="s">
        <v>239</v>
      </c>
      <c r="B116" s="5">
        <f>-B87</f>
        <v>-3885030.071428572</v>
      </c>
      <c r="C116" s="5">
        <f>C105+C107+C109</f>
        <v>373361.1213480395</v>
      </c>
      <c r="D116" s="5">
        <f>D105+D107+D109</f>
        <v>229324.37727155208</v>
      </c>
      <c r="E116" s="5">
        <f>E105+E107+E109</f>
        <v>273664.18936769286</v>
      </c>
      <c r="F116" s="5">
        <f>F105+F107+F109</f>
        <v>288334.0568446548</v>
      </c>
      <c r="G116" s="5">
        <f>G105+G107+G109</f>
        <v>303297.32167115615</v>
      </c>
      <c r="H116" s="5">
        <f>H105+H107+H109</f>
        <v>318559.8517941868</v>
      </c>
      <c r="I116" s="5">
        <f>I105+I107+I109</f>
        <v>7780841.791051094</v>
      </c>
    </row>
    <row r="117" spans="1:9" x14ac:dyDescent="0.25">
      <c r="A117" t="s">
        <v>240</v>
      </c>
      <c r="B117" s="5">
        <f>B116</f>
        <v>-3885030.071428572</v>
      </c>
      <c r="C117" s="5">
        <f>B117+C116</f>
        <v>-3511668.9500805326</v>
      </c>
      <c r="D117" s="5">
        <f>C117+D116</f>
        <v>-3282344.5728089805</v>
      </c>
      <c r="E117" s="5">
        <f>D117+E116</f>
        <v>-3008680.3834412876</v>
      </c>
      <c r="F117" s="5">
        <f>E117+F116</f>
        <v>-2720346.3265966326</v>
      </c>
      <c r="G117" s="5">
        <f>F117+G116</f>
        <v>-2417049.0049254764</v>
      </c>
      <c r="H117" s="5">
        <f>G117+H116</f>
        <v>-2098489.1531312894</v>
      </c>
      <c r="I117" s="5">
        <f>H117+I116</f>
        <v>5682352.637919805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1" width="26" customWidth="1"/>
    <col min="2" max="7" width="13" customWidth="1"/>
  </cols>
  <sheetData>
    <row r="1" spans="1:1" x14ac:dyDescent="0.25">
      <c r="A1" s="2" t="s">
        <v>243</v>
      </c>
    </row>
    <row r="3" spans="1:7" x14ac:dyDescent="0.25">
      <c r="A3" s="3" t="s">
        <v>244</v>
      </c>
      <c r="B3" s="3" t="s">
        <v>13</v>
      </c>
      <c r="C3" s="3" t="s">
        <v>19</v>
      </c>
      <c r="D3" s="3" t="s">
        <v>31</v>
      </c>
      <c r="E3" s="3" t="s">
        <v>217</v>
      </c>
      <c r="F3" s="3" t="s">
        <v>231</v>
      </c>
      <c r="G3" s="3" t="s">
        <v>245</v>
      </c>
    </row>
    <row r="4" spans="1:7" x14ac:dyDescent="0.25">
      <c r="A4" t="s">
        <v>81</v>
      </c>
      <c r="B4" s="5">
        <v>0</v>
      </c>
      <c r="C4" s="5">
        <v>9981010</v>
      </c>
      <c r="D4" s="6">
        <v>0.09986772672213967</v>
      </c>
      <c r="E4" s="7">
        <v>1.7558554363439023</v>
      </c>
      <c r="F4" s="7"/>
      <c r="G4" t="s">
        <v>246</v>
      </c>
    </row>
    <row r="5" spans="1:7" x14ac:dyDescent="0.25">
      <c r="A5" t="s">
        <v>12</v>
      </c>
      <c r="B5" s="5">
        <v>6301786</v>
      </c>
      <c r="C5" s="5">
        <v>5156538</v>
      </c>
      <c r="D5" s="6">
        <v>0.13631682197276268</v>
      </c>
      <c r="E5" s="7">
        <v>2.1966082762657937</v>
      </c>
      <c r="F5" s="7">
        <v>1.9665847963193324</v>
      </c>
      <c r="G5" t="s">
        <v>247</v>
      </c>
    </row>
    <row r="6" spans="1:7" x14ac:dyDescent="0.25">
      <c r="A6" t="s">
        <v>83</v>
      </c>
      <c r="B6" s="5">
        <v>8192321</v>
      </c>
      <c r="C6" s="5">
        <v>3675114</v>
      </c>
      <c r="D6" s="6">
        <v>0.15994969700352754</v>
      </c>
      <c r="E6" s="7">
        <v>2.5461704119869646</v>
      </c>
      <c r="F6" s="7">
        <v>1.5127575356302556</v>
      </c>
      <c r="G6" t="s">
        <v>246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Assumptions</vt:lpstr>
      <vt:lpstr>Unit Mix</vt:lpstr>
      <vt:lpstr>Cost</vt:lpstr>
      <vt:lpstr>P&amp;L</vt:lpstr>
      <vt:lpstr>Waterfall</vt:lpstr>
      <vt:lpstr>Cash Flow</vt:lpstr>
      <vt:lpstr>Scenarios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Patrimonio SL</dc:creator>
  <dc:title/>
  <dc:subject/>
  <dc:description/>
  <cp:keywords/>
  <cp:category/>
  <cp:lastModifiedBy>Unknown</cp:lastModifiedBy>
  <dcterms:created xsi:type="dcterms:W3CDTF">2026-09-20T23:18:04Z</dcterms:created>
  <dcterms:modified xsi:type="dcterms:W3CDTF">2026-09-20T23:18:04Z</dcterms:modified>
</cp:coreProperties>
</file>