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Mix'!$B$21</definedName>
    <definedName name="blended_incl">'Unit Mix'!$B$22</definedName>
    <definedName name="clean_base">'Unit Mix'!$B$23</definedName>
    <definedName name="anc_units">'Unit Mix'!$B$24</definedName>
    <definedName name="mtr_n">'Unit Mix'!$B$25</definedName>
    <definedName name="cost_unit_n">'Unit Mix'!$B$26</definedName>
    <definedName name="mtr_rent_a">'Unit Mix'!$B$27</definedName>
    <definedName name="turn_base">'Unit Mix'!$B$28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<sst xmlns="http://schemas.openxmlformats.org/spreadsheetml/2006/main" count="385" uniqueCount="241">
  <si>
    <t>Triana 14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</si>
  <si>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</si>
  <si>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</si>
  <si>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</si>
  <si>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</si>
  <si>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</si>
  <si>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</si>
  <si>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</si>
  <si>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</si>
  <si>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</si>
  <si>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</si>
  <si>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</si>
  <si>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50%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</si>
  <si>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</si>
  <si>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</si>
  <si>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</si>
  <si>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</si>
  <si>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</si>
  <si>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</si>
  <si>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</si>
  <si>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</si>
  <si>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</si>
  <si>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</si>
  <si>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</si>
  <si>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</si>
  <si>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</si>
  <si>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</si>
  <si>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</si>
  <si>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</si>
  <si>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</si>
  <si>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</si>
  <si>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</si>
  <si>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</si>
  <si>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</si>
  <si>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</si>
  <si>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</si>
  <si>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</si>
  <si>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</si>
  <si>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</si>
  <si>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</si>
  <si>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</si>
  <si>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</si>
  <si>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</si>
  <si>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</si>
  <si>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</si>
  <si>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</si>
  <si>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</si>
  <si>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</si>
  <si>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</si>
  <si>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</si>
  <si>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</si>
  <si>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</si>
  <si>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</si>
  <si>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</si>
  <si>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</si>
  <si>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</si>
  <si>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</si>
  <si>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</si>
  <si>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</si>
  <si>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</si>
  <si>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</si>
  <si>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</si>
  <si>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</si>
  <si>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</si>
  <si>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</si>
  <si>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</si>
  <si>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</si>
  <si>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</si>
  <si>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</si>
  <si>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</si>
  <si>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</si>
  <si>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</si>
  <si>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</si>
  <si>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</si>
  <si>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</si>
  <si>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</si>
  <si>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</si>
  <si>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</si>
  <si>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</si>
  <si>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</si>
  <si>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</si>
  <si>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</si>
  <si>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50% LTV  ←</t>
  </si>
  <si>
    <t>60% LTV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</si>
  <si>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</si>
  <si>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</si>
  <si>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</si>
  <si>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</si>
  <si>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</si>
  <si>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</si>
  <si>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</si>
  <si>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</si>
  <si>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</si>
  <si>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</si>
  <si>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</si>
  <si>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</si>
  <si>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</si>
  <si>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</si>
  <si>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</si>
  <si>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</si>
  <si>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</si>
  <si>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</si>
  <si>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</si>
  <si>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</si>
  <si>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</si>
  <si>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</si>
  <si>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1-bed · short-let</t>
  </si>
  <si>
    <t>STR</t>
  </si>
  <si>
    <t>2-bed · short-let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</si>
  <si>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</si>
  <si>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</si>
  <si>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</si>
  <si>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</si>
  <si>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</si>
  <si>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</si>
  <si>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</si>
  <si>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</si>
  <si>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</si>
  <si>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</si>
  <si>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</si>
  <si>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</si>
  <si>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</si>
  <si>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</si>
  <si>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</si>
  <si>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</si>
  <si>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</si>
  <si>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</si>
  <si>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</si>
  <si>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</si>
  <si>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</si>
  <si>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</si>
  <si>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</si>
  <si>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</si>
  <si>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</si>
  <si>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</si>
  <si>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</si>
  <si>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</si>
  <si>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</si>
  <si>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</si>
  <si>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</si>
  <si>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</si>
  <si>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</si>
  <si>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</si>
  <si>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</si>
  <si>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</si>
  <si>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</si>
  <si>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</si>
  <si>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</si>
  <si>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</si>
  <si>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</si>
  <si>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</si>
  <si>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</si>
  <si>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</si>
  <si>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</si>
  <si>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</si>
  <si>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</si>
  <si>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</si>
  <si>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</si>
  <si>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</si>
  <si>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</si>
  <si>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</si>
  <si>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</si>
  <si>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</si>
  <si>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</si>
  <si>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</si>
  <si>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</si>
  <si>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</si>
  <si>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</si>
  <si>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</si>
  <si>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</si>
  <si>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</si>
  <si>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Protected facade maintenance rider (fixed_annual)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</si>
  <si>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</si>
  <si>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</si>
  <si>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</si>
  <si>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</si>
  <si>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</si>
  <si>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</si>
  <si>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</si>
  <si>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</si>
  <si>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</si>
  <si>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</si>
  <si>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</si>
  <si>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</si>
  <si>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</si>
  <si>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</si>
  <si>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</si>
  <si>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</si>
  <si>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</si>
  <si>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</si>
  <si>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</si>
  <si>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</si>
  <si>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</si>
  <si>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</si>
  <si>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</si>
  <si>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</si>
  <si>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</si>
  <si>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</si>
  <si>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</si>
  <si>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</si>
  <si>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</si>
  <si>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</si>
  <si>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</si>
  <si>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</si>
  <si>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</si>
  <si>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</si>
  <si>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</si>
  <si>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</si>
  <si>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</si>
  <si>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</si>
  <si>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</si>
  <si>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</si>
  <si>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</si>
  <si>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</si>
  <si>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</si>
  <si>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</si>
  <si>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</si>
  <si>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</si>
  <si>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</si>
  <si>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</si>
  <si>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</si>
  <si>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</si>
  <si>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</si>
  <si>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</si>
  <si>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</si>
  <si>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</si>
  <si>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</si>
  <si>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</si>
  <si>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</si>
  <si>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</si>
  <si>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</si>
  <si>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</si>
  <si>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</si>
  <si>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</si>
  <si>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50% LTV  ← reported  ·  cash live, LP/GP split as modelled</t>
  </si>
  <si>
    <t>60% LTV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</si>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</sst>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18</v>
      </c>
    </row>
    <row r="7" spans="1:2" x14ac:dyDescent="0.25">
      <c r="A7" t="s">
        <v>5</v>
      </c>
      <c r="B7" s="5">
        <f>price</f>
        <v>3250000</v>
      </c>
    </row>
    <row r="8" spans="1:2" x14ac:dyDescent="0.25">
      <c r="A8" t="s">
        <v>6</v>
      </c>
      <c r="B8" s="5">
        <f>tpc</f>
        <v>3981658.163265306</v>
      </c>
    </row>
    <row r="9" spans="1:2" x14ac:dyDescent="0.25">
      <c r="A9" t="s">
        <v>7</v>
      </c>
      <c r="B9" s="5">
        <f>IF(units_c=0,0,tpc/units_c)</f>
        <v>221203.231292517</v>
      </c>
    </row>
    <row r="10" spans="1:2" x14ac:dyDescent="0.25">
      <c r="A10" t="s">
        <v>8</v>
      </c>
      <c r="B10" s="5">
        <f>'P&amp;L'!E32</f>
        <v>334098.8358682137</v>
      </c>
    </row>
    <row r="11" spans="1:2" x14ac:dyDescent="0.25">
      <c r="A11" t="s">
        <v>9</v>
      </c>
      <c r="B11" s="6">
        <f>IF(tpc=0,0,B10/tpc)</f>
        <v>0.08390947242799557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1990829.081632653</v>
      </c>
    </row>
    <row r="16" spans="1:2" x14ac:dyDescent="0.25">
      <c r="A16" t="s">
        <v>14</v>
      </c>
      <c r="B16" s="6">
        <f>IF(tpc=0,0,B15/tpc)</f>
        <v>0.5</v>
      </c>
    </row>
    <row r="17" spans="1:2" x14ac:dyDescent="0.25">
      <c r="A17" t="s">
        <v>15</v>
      </c>
      <c r="B17" s="5">
        <f>Waterfall!B4</f>
        <v>46161.996173469386</v>
      </c>
    </row>
    <row r="18" spans="1:2" x14ac:dyDescent="0.25">
      <c r="A18" t="s">
        <v>16</v>
      </c>
      <c r="B18" s="5">
        <f>eq_total</f>
        <v>2036991.0778061224</v>
      </c>
    </row>
    <row r="19" spans="1:2" x14ac:dyDescent="0.25">
      <c r="A19" t="s">
        <v>17</v>
      </c>
      <c r="B19" s="5">
        <f>vat_float</f>
        <v>90856.5</v>
      </c>
    </row>
    <row r="20" spans="1:2" x14ac:dyDescent="0.25">
      <c r="A20" t="s">
        <v>18</v>
      </c>
      <c r="B20" s="5">
        <f>eq_total+vat_float</f>
        <v>2127847.5778061226</v>
      </c>
    </row>
    <row r="21" spans="1:2" x14ac:dyDescent="0.25">
      <c r="A21" t="s">
        <v>19</v>
      </c>
      <c r="B21" s="5">
        <f>eq_lp</f>
        <v>1629592.862244898</v>
      </c>
    </row>
    <row r="22" spans="1:2" x14ac:dyDescent="0.25">
      <c r="A22" t="s">
        <v>20</v>
      </c>
      <c r="B22" s="5">
        <f>eq_gp</f>
        <v>407398.2155612245</v>
      </c>
    </row>
    <row r="23" spans="1:2" x14ac:dyDescent="0.25">
      <c r="A23" t="s">
        <v>21</v>
      </c>
      <c r="B23" s="5">
        <f>Waterfall!B8</f>
        <v>162122.36294554902</v>
      </c>
    </row>
    <row r="24" spans="1:2" x14ac:dyDescent="0.25">
      <c r="A24" t="s">
        <v>22</v>
      </c>
      <c r="B24" s="7">
        <f>IF(Waterfall!B8=0,0,B10/Waterfall!B8)</f>
        <v>2.060781929143392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4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4856790.532668028</v>
      </c>
    </row>
    <row r="30" spans="1:2" x14ac:dyDescent="0.25">
      <c r="A30" t="s">
        <v>27</v>
      </c>
      <c r="B30" s="5">
        <f>Waterfall!B27</f>
        <v>-97135.81065336056</v>
      </c>
    </row>
    <row r="31" spans="1:2" x14ac:dyDescent="0.25">
      <c r="A31" t="s">
        <v>28</v>
      </c>
      <c r="B31" s="5">
        <f>Waterfall!B28</f>
        <v>1537366.4024428683</v>
      </c>
    </row>
    <row r="32" spans="1:2" x14ac:dyDescent="0.25">
      <c r="A32" t="s">
        <v>29</v>
      </c>
      <c r="B32" s="5">
        <f>Waterfall!B29</f>
        <v>3222288.319571799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0.1662208021010443</v>
      </c>
    </row>
    <row r="36" spans="1:2" x14ac:dyDescent="0.25">
      <c r="A36" t="s">
        <v>32</v>
      </c>
      <c r="B36" s="7">
        <f>Waterfall!B38</f>
        <v>1.7744805068193272</v>
      </c>
    </row>
    <row r="37" spans="1:2" x14ac:dyDescent="0.25">
      <c r="A37" t="s">
        <v>33</v>
      </c>
      <c r="B37" s="5">
        <f>Waterfall!B37</f>
        <v>2891680.7681054845</v>
      </c>
    </row>
    <row r="38" spans="1:2" x14ac:dyDescent="0.25">
      <c r="A38" t="s">
        <v>34</v>
      </c>
      <c r="B38" s="6">
        <f>IF(eq_lp=0,0,AVERAGE(Waterfall!C22:F22)/eq_lp)</f>
        <v>0.0762510678819839</v>
      </c>
    </row>
    <row r="39" spans="1:2" x14ac:dyDescent="0.25">
      <c r="A39" t="s">
        <v>35</v>
      </c>
      <c r="B39" s="6">
        <f>IRR('Cash Flow'!B77:'Cash Flow'!F77)</f>
        <v>0.1642382306316521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SUM(Waterfall!C23:F23)+Waterfall!B32</f>
        <v>951898.5312614754</v>
      </c>
    </row>
    <row r="43" spans="1:2" x14ac:dyDescent="0.25">
      <c r="A43" t="s">
        <v>38</v>
      </c>
      <c r="B43" s="7">
        <f>IF(eq_gp=0,0,B42/eq_gp)</f>
        <v>2.336530929449843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0.8199991232876713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125</v>
      </c>
    </row>
    <row r="17" spans="1:2" x14ac:dyDescent="0.25">
      <c r="A17" t="s">
        <v>53</v>
      </c>
      <c r="B17" s="8">
        <v>0</v>
      </c>
    </row>
    <row r="18" spans="1:2" x14ac:dyDescent="0.25">
      <c r="A18" t="s">
        <v>54</v>
      </c>
      <c r="B18" s="8">
        <v>0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2</v>
      </c>
    </row>
    <row r="21" spans="1:2" x14ac:dyDescent="0.25">
      <c r="A21" t="s">
        <v>57</v>
      </c>
      <c r="B21" s="11">
        <v>13.5</v>
      </c>
    </row>
    <row r="22" spans="1:2" x14ac:dyDescent="0.25">
      <c r="A22" t="s">
        <v>58</v>
      </c>
      <c r="B22" s="11">
        <v>5</v>
      </c>
    </row>
    <row r="23" spans="1:2" x14ac:dyDescent="0.25">
      <c r="A23" t="s">
        <v>59</v>
      </c>
      <c r="B23" s="11">
        <v>3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6100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4" x14ac:dyDescent="0.25">
      <c r="B46" s="3" t="s">
        <v>81</v>
      </c>
      <c r="C46" s="3" t="s">
        <v>82</v>
      </c>
      <c r="D46" s="3" t="s">
        <v>83</v>
      </c>
    </row>
    <row r="47" spans="1:4" x14ac:dyDescent="0.25">
      <c r="A47" t="s">
        <v>84</v>
      </c>
      <c r="B47" s="8">
        <v>0</v>
      </c>
      <c r="C47" s="8">
        <v>0.5</v>
      </c>
      <c r="D47" s="8">
        <v>0.6</v>
      </c>
    </row>
    <row r="48" spans="1:4" x14ac:dyDescent="0.25">
      <c r="A48" t="s">
        <v>85</v>
      </c>
      <c r="B48" s="8">
        <v>0.0275</v>
      </c>
      <c r="C48" s="8">
        <v>0.0275</v>
      </c>
      <c r="D48" s="8">
        <v>0.0275</v>
      </c>
    </row>
    <row r="49" spans="1:4" x14ac:dyDescent="0.25">
      <c r="A49" t="s">
        <v>86</v>
      </c>
      <c r="B49" s="9">
        <v>15</v>
      </c>
      <c r="C49" s="9">
        <v>15</v>
      </c>
      <c r="D49" s="9">
        <v>15</v>
      </c>
    </row>
    <row r="50" spans="1:4" x14ac:dyDescent="0.25">
      <c r="A50" t="s">
        <v>87</v>
      </c>
      <c r="B50" s="9">
        <v>0</v>
      </c>
      <c r="C50" s="9">
        <v>0</v>
      </c>
      <c r="D50" s="9">
        <v>0</v>
      </c>
    </row>
    <row r="51" spans="1:4" x14ac:dyDescent="0.25">
      <c r="A51" t="s">
        <v>88</v>
      </c>
      <c r="B51" s="8">
        <v>0.01</v>
      </c>
      <c r="C51" s="8">
        <v>0.01</v>
      </c>
      <c r="D51" s="8">
        <v>0.01</v>
      </c>
    </row>
    <row r="52" spans="1:4" x14ac:dyDescent="0.25">
      <c r="A52" t="s">
        <v>89</v>
      </c>
      <c r="B52" s="8">
        <v>0.0075</v>
      </c>
      <c r="C52" s="8">
        <v>0.0075</v>
      </c>
      <c r="D52" s="8">
        <v>0.0075</v>
      </c>
    </row>
    <row r="53" spans="1:4" x14ac:dyDescent="0.25">
      <c r="A53" t="s">
        <v>90</v>
      </c>
      <c r="B53" s="11">
        <v>275</v>
      </c>
      <c r="C53" s="11">
        <v>275</v>
      </c>
      <c r="D53" s="11">
        <v>275</v>
      </c>
    </row>
    <row r="54" spans="1:4" x14ac:dyDescent="0.25">
      <c r="A54" t="s">
        <v>91</v>
      </c>
      <c r="B54" s="8">
        <v>0.002</v>
      </c>
      <c r="C54" s="8">
        <v>0.002</v>
      </c>
      <c r="D54" s="8">
        <v>0.002</v>
      </c>
    </row>
    <row r="55" spans="1:4" x14ac:dyDescent="0.25">
      <c r="A55" t="s">
        <v>92</v>
      </c>
      <c r="B55" s="8">
        <v>0.001</v>
      </c>
      <c r="C55" s="8">
        <v>0.001</v>
      </c>
      <c r="D55" s="8">
        <v>0.001</v>
      </c>
    </row>
    <row r="56" spans="1:4" x14ac:dyDescent="0.25">
      <c r="A56" t="s">
        <v>93</v>
      </c>
      <c r="B56" s="11">
        <v>400</v>
      </c>
      <c r="C56" s="11">
        <v>400</v>
      </c>
      <c r="D56" s="11">
        <v>400</v>
      </c>
    </row>
    <row r="65" spans="1:1" x14ac:dyDescent="0.25">
      <c r="A65" s="3" t="s">
        <v>94</v>
      </c>
    </row>
    <row r="66" spans="1:2" x14ac:dyDescent="0.25">
      <c r="A66" t="s">
        <v>95</v>
      </c>
      <c r="B66" s="8">
        <v>0.21</v>
      </c>
    </row>
    <row r="67" spans="1:2" x14ac:dyDescent="0.25">
      <c r="A67" t="s">
        <v>96</v>
      </c>
      <c r="B67" s="8">
        <v>0.21</v>
      </c>
    </row>
    <row r="68" spans="1:2" x14ac:dyDescent="0.25">
      <c r="A68" t="s">
        <v>97</v>
      </c>
      <c r="B68" s="8">
        <v>0.21</v>
      </c>
    </row>
    <row r="69" spans="1:2" x14ac:dyDescent="0.25">
      <c r="A69" t="s">
        <v>98</v>
      </c>
      <c r="B69" s="8">
        <v>0.21</v>
      </c>
    </row>
    <row r="70" spans="1:2" x14ac:dyDescent="0.25">
      <c r="A70" t="s">
        <v>99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</row>
    <row r="2" spans="1:6" x14ac:dyDescent="0.25">
      <c r="A2" t="s">
        <v>106</v>
      </c>
      <c r="B2" t="s">
        <v>107</v>
      </c>
      <c r="C2" s="11">
        <v>121.9996108993501</v>
      </c>
      <c r="D2" s="8">
        <v>0.8199991232876713</v>
      </c>
      <c r="E2" s="11">
        <v>30</v>
      </c>
      <c r="F2" s="11">
        <v>0</v>
      </c>
    </row>
    <row r="3" spans="1:6" x14ac:dyDescent="0.25">
      <c r="A3" t="s">
        <v>106</v>
      </c>
      <c r="B3" t="s">
        <v>107</v>
      </c>
      <c r="C3" s="11">
        <v>121.9996108993501</v>
      </c>
      <c r="D3" s="8">
        <v>0.8199991232876713</v>
      </c>
      <c r="E3" s="11">
        <v>30</v>
      </c>
      <c r="F3" s="11">
        <v>0</v>
      </c>
    </row>
    <row r="4" spans="1:6" x14ac:dyDescent="0.25">
      <c r="A4" t="s">
        <v>106</v>
      </c>
      <c r="B4" t="s">
        <v>107</v>
      </c>
      <c r="C4" s="11">
        <v>121.9996108993501</v>
      </c>
      <c r="D4" s="8">
        <v>0.8199991232876713</v>
      </c>
      <c r="E4" s="11">
        <v>30</v>
      </c>
      <c r="F4" s="11">
        <v>0</v>
      </c>
    </row>
    <row r="5" spans="1:6" x14ac:dyDescent="0.25">
      <c r="A5" t="s">
        <v>106</v>
      </c>
      <c r="B5" t="s">
        <v>107</v>
      </c>
      <c r="C5" s="11">
        <v>121.9996108993501</v>
      </c>
      <c r="D5" s="8">
        <v>0.8199991232876713</v>
      </c>
      <c r="E5" s="11">
        <v>30</v>
      </c>
      <c r="F5" s="11">
        <v>0</v>
      </c>
    </row>
    <row r="6" spans="1:6" x14ac:dyDescent="0.25">
      <c r="A6" t="s">
        <v>106</v>
      </c>
      <c r="B6" t="s">
        <v>107</v>
      </c>
      <c r="C6" s="11">
        <v>121.9996108993501</v>
      </c>
      <c r="D6" s="8">
        <v>0.8199991232876713</v>
      </c>
      <c r="E6" s="11">
        <v>30</v>
      </c>
      <c r="F6" s="11">
        <v>0</v>
      </c>
    </row>
    <row r="7" spans="1:6" x14ac:dyDescent="0.25">
      <c r="A7" t="s">
        <v>106</v>
      </c>
      <c r="B7" t="s">
        <v>107</v>
      </c>
      <c r="C7" s="11">
        <v>121.9996108993501</v>
      </c>
      <c r="D7" s="8">
        <v>0.8199991232876713</v>
      </c>
      <c r="E7" s="11">
        <v>30</v>
      </c>
      <c r="F7" s="11">
        <v>0</v>
      </c>
    </row>
    <row r="8" spans="1:6" x14ac:dyDescent="0.25">
      <c r="A8" t="s">
        <v>106</v>
      </c>
      <c r="B8" t="s">
        <v>107</v>
      </c>
      <c r="C8" s="11">
        <v>121.9996108993501</v>
      </c>
      <c r="D8" s="8">
        <v>0.8199991232876713</v>
      </c>
      <c r="E8" s="11">
        <v>30</v>
      </c>
      <c r="F8" s="11">
        <v>0</v>
      </c>
    </row>
    <row r="9" spans="1:6" x14ac:dyDescent="0.25">
      <c r="A9" t="s">
        <v>106</v>
      </c>
      <c r="B9" t="s">
        <v>107</v>
      </c>
      <c r="C9" s="11">
        <v>121.9996108993501</v>
      </c>
      <c r="D9" s="8">
        <v>0.8199991232876713</v>
      </c>
      <c r="E9" s="11">
        <v>30</v>
      </c>
      <c r="F9" s="11">
        <v>0</v>
      </c>
    </row>
    <row r="10" spans="1:6" x14ac:dyDescent="0.25">
      <c r="A10" t="s">
        <v>106</v>
      </c>
      <c r="B10" t="s">
        <v>107</v>
      </c>
      <c r="C10" s="11">
        <v>121.9996108993501</v>
      </c>
      <c r="D10" s="8">
        <v>0.8199991232876713</v>
      </c>
      <c r="E10" s="11">
        <v>30</v>
      </c>
      <c r="F10" s="11">
        <v>0</v>
      </c>
    </row>
    <row r="11" spans="1:6" x14ac:dyDescent="0.25">
      <c r="A11" t="s">
        <v>106</v>
      </c>
      <c r="B11" t="s">
        <v>107</v>
      </c>
      <c r="C11" s="11">
        <v>121.9996108993501</v>
      </c>
      <c r="D11" s="8">
        <v>0.8199991232876713</v>
      </c>
      <c r="E11" s="11">
        <v>30</v>
      </c>
      <c r="F11" s="11">
        <v>0</v>
      </c>
    </row>
    <row r="12" spans="1:6" x14ac:dyDescent="0.25">
      <c r="A12" t="s">
        <v>108</v>
      </c>
      <c r="B12" t="s">
        <v>107</v>
      </c>
      <c r="C12" s="11">
        <v>160.00046389090687</v>
      </c>
      <c r="D12" s="8">
        <v>0.8199991232876713</v>
      </c>
      <c r="E12" s="11">
        <v>35</v>
      </c>
      <c r="F12" s="11">
        <v>0</v>
      </c>
    </row>
    <row r="13" spans="1:6" x14ac:dyDescent="0.25">
      <c r="A13" t="s">
        <v>108</v>
      </c>
      <c r="B13" t="s">
        <v>107</v>
      </c>
      <c r="C13" s="11">
        <v>160.00046389090687</v>
      </c>
      <c r="D13" s="8">
        <v>0.8199991232876713</v>
      </c>
      <c r="E13" s="11">
        <v>35</v>
      </c>
      <c r="F13" s="11">
        <v>0</v>
      </c>
    </row>
    <row r="14" spans="1:6" x14ac:dyDescent="0.25">
      <c r="A14" t="s">
        <v>108</v>
      </c>
      <c r="B14" t="s">
        <v>107</v>
      </c>
      <c r="C14" s="11">
        <v>160.00046389090687</v>
      </c>
      <c r="D14" s="8">
        <v>0.8199991232876713</v>
      </c>
      <c r="E14" s="11">
        <v>35</v>
      </c>
      <c r="F14" s="11">
        <v>0</v>
      </c>
    </row>
    <row r="15" spans="1:6" x14ac:dyDescent="0.25">
      <c r="A15" t="s">
        <v>108</v>
      </c>
      <c r="B15" t="s">
        <v>107</v>
      </c>
      <c r="C15" s="11">
        <v>160.00046389090687</v>
      </c>
      <c r="D15" s="8">
        <v>0.8199991232876713</v>
      </c>
      <c r="E15" s="11">
        <v>35</v>
      </c>
      <c r="F15" s="11">
        <v>0</v>
      </c>
    </row>
    <row r="16" spans="1:6" x14ac:dyDescent="0.25">
      <c r="A16" t="s">
        <v>108</v>
      </c>
      <c r="B16" t="s">
        <v>107</v>
      </c>
      <c r="C16" s="11">
        <v>160.00046389090687</v>
      </c>
      <c r="D16" s="8">
        <v>0.8199991232876713</v>
      </c>
      <c r="E16" s="11">
        <v>35</v>
      </c>
      <c r="F16" s="11">
        <v>0</v>
      </c>
    </row>
    <row r="17" spans="1:6" x14ac:dyDescent="0.25">
      <c r="A17" t="s">
        <v>108</v>
      </c>
      <c r="B17" t="s">
        <v>107</v>
      </c>
      <c r="C17" s="11">
        <v>160.00046389090687</v>
      </c>
      <c r="D17" s="8">
        <v>0.8199991232876713</v>
      </c>
      <c r="E17" s="11">
        <v>35</v>
      </c>
      <c r="F17" s="11">
        <v>0</v>
      </c>
    </row>
    <row r="18" spans="1:6" x14ac:dyDescent="0.25">
      <c r="A18" t="s">
        <v>108</v>
      </c>
      <c r="B18" t="s">
        <v>107</v>
      </c>
      <c r="C18" s="11">
        <v>160.00046389090687</v>
      </c>
      <c r="D18" s="8">
        <v>0.8199991232876713</v>
      </c>
      <c r="E18" s="11">
        <v>35</v>
      </c>
      <c r="F18" s="11">
        <v>0</v>
      </c>
    </row>
    <row r="19" spans="1:6" x14ac:dyDescent="0.25">
      <c r="A19" t="s">
        <v>108</v>
      </c>
      <c r="B19" t="s">
        <v>107</v>
      </c>
      <c r="C19" s="11">
        <v>160.00046389090687</v>
      </c>
      <c r="D19" s="8">
        <v>0.8199991232876713</v>
      </c>
      <c r="E19" s="11">
        <v>35</v>
      </c>
      <c r="F19" s="11">
        <v>0</v>
      </c>
    </row>
    <row r="21" spans="1:2" x14ac:dyDescent="0.25">
      <c r="A21" t="s">
        <v>109</v>
      </c>
      <c r="B21" s="4">
        <f>COUNTIF(B2:B19,"STR")</f>
        <v>18</v>
      </c>
    </row>
    <row r="22" spans="1:2" x14ac:dyDescent="0.25">
      <c r="A22" t="s">
        <v>110</v>
      </c>
      <c r="B22" s="5">
        <f>SUMPRODUCT(C2:C19,D2:D19,--(B2:B19="STR"))/SUMPRODUCT(D2:D19,--(B2:B19="STR"))</f>
        <v>138.88887889559766</v>
      </c>
    </row>
    <row r="23" spans="1:2" x14ac:dyDescent="0.25">
      <c r="A23" t="s">
        <v>111</v>
      </c>
      <c r="B23" s="5">
        <f>SUMPRODUCT(365*D2:D19/alos,E2:E19/(1+iva),--(B2:B19="STR"))</f>
        <v>63125.02341818183</v>
      </c>
    </row>
    <row r="24" spans="1:2" x14ac:dyDescent="0.25">
      <c r="A24" t="s">
        <v>112</v>
      </c>
      <c r="B24" s="5">
        <f>SUMPRODUCT(F2:F19,--(B2:B19&lt;&gt;"STR"),--(B2:B19&lt;&gt;"MTR"))*12</f>
        <v>0</v>
      </c>
    </row>
    <row r="25" spans="1:2" x14ac:dyDescent="0.25">
      <c r="A25" t="s">
        <v>113</v>
      </c>
      <c r="B25" s="4">
        <f>COUNTIF(B2:B19,"MTR")</f>
        <v>0</v>
      </c>
    </row>
    <row r="26" spans="1:2" x14ac:dyDescent="0.25">
      <c r="A26" t="s">
        <v>114</v>
      </c>
      <c r="B26" s="4">
        <f>unit_n+mtr_n</f>
        <v>18</v>
      </c>
    </row>
    <row r="27" spans="1:2" x14ac:dyDescent="0.25">
      <c r="A27" t="s">
        <v>115</v>
      </c>
      <c r="B27" s="5">
        <f>SUMPRODUCT(F2:F19,--(B2:B19="MTR"))*12</f>
        <v>0</v>
      </c>
    </row>
    <row r="28" spans="1:2" x14ac:dyDescent="0.25">
      <c r="A28" t="s">
        <v>116</v>
      </c>
      <c r="B28" s="12">
        <f>SUMPRODUCT(D2:D19,--(B2:B19="STR"))*365/alos</f>
        <v>2154.9576960000013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117</v>
      </c>
    </row>
    <row r="2" spans="1:2" x14ac:dyDescent="0.25">
      <c r="A2" t="s">
        <v>5</v>
      </c>
      <c r="B2" s="11">
        <v>3250000</v>
      </c>
    </row>
    <row r="3" spans="1:2" x14ac:dyDescent="0.25">
      <c r="A3" t="s">
        <v>118</v>
      </c>
      <c r="B3" s="9">
        <v>18</v>
      </c>
    </row>
    <row r="4" spans="1:2" x14ac:dyDescent="0.25">
      <c r="A4" t="s">
        <v>119</v>
      </c>
      <c r="B4" s="8">
        <v>0.0075</v>
      </c>
    </row>
    <row r="5" spans="1:2" x14ac:dyDescent="0.25">
      <c r="A5" t="s">
        <v>120</v>
      </c>
      <c r="B5" s="8">
        <v>0.06</v>
      </c>
    </row>
    <row r="6" spans="1:2" x14ac:dyDescent="0.25">
      <c r="A6" t="s">
        <v>121</v>
      </c>
      <c r="B6" s="8">
        <v>0.03</v>
      </c>
    </row>
    <row r="7" spans="1:2" x14ac:dyDescent="0.25">
      <c r="A7" t="s">
        <v>122</v>
      </c>
      <c r="B7" s="8">
        <v>0.005</v>
      </c>
    </row>
    <row r="8" spans="1:2" x14ac:dyDescent="0.25">
      <c r="A8" t="s">
        <v>123</v>
      </c>
      <c r="B8" s="11">
        <v>1800</v>
      </c>
    </row>
    <row r="9" spans="1:2" x14ac:dyDescent="0.25">
      <c r="A9" t="s">
        <v>124</v>
      </c>
      <c r="B9" s="11">
        <v>900</v>
      </c>
    </row>
    <row r="10" spans="1:2" x14ac:dyDescent="0.25">
      <c r="A10" t="s">
        <v>125</v>
      </c>
      <c r="B10" s="11">
        <v>3500</v>
      </c>
    </row>
    <row r="11" spans="1:2" x14ac:dyDescent="0.25">
      <c r="A11" t="s">
        <v>126</v>
      </c>
      <c r="B11" s="11">
        <v>2500</v>
      </c>
    </row>
    <row r="12" spans="1:2" x14ac:dyDescent="0.25">
      <c r="A12" t="s">
        <v>127</v>
      </c>
      <c r="B12" s="11">
        <v>0</v>
      </c>
    </row>
    <row r="13" spans="1:2" x14ac:dyDescent="0.25">
      <c r="A13" t="s">
        <v>128</v>
      </c>
      <c r="B13" s="11">
        <v>2000</v>
      </c>
    </row>
    <row r="14" spans="1:2" x14ac:dyDescent="0.25">
      <c r="A14" t="s">
        <v>129</v>
      </c>
      <c r="B14" s="11">
        <v>36000</v>
      </c>
    </row>
    <row r="15" spans="1:2" x14ac:dyDescent="0.25">
      <c r="A15" t="s">
        <v>130</v>
      </c>
      <c r="B15" s="11">
        <v>14000</v>
      </c>
    </row>
    <row r="16" spans="1:2" x14ac:dyDescent="0.25">
      <c r="A16" t="s">
        <v>131</v>
      </c>
      <c r="B16" s="8">
        <v>0</v>
      </c>
    </row>
    <row r="17" spans="1:2" x14ac:dyDescent="0.25">
      <c r="A17" t="s">
        <v>132</v>
      </c>
      <c r="B17" s="11">
        <v>7666.666666666667</v>
      </c>
    </row>
    <row r="18" spans="1:2" x14ac:dyDescent="0.25">
      <c r="A18" t="s">
        <v>133</v>
      </c>
      <c r="B18" s="11">
        <v>1400</v>
      </c>
    </row>
    <row r="19" spans="1:2" x14ac:dyDescent="0.25">
      <c r="A19" t="s">
        <v>134</v>
      </c>
      <c r="B19" s="11">
        <v>24000</v>
      </c>
    </row>
    <row r="20" spans="1:2" x14ac:dyDescent="0.25">
      <c r="A20" t="s">
        <v>135</v>
      </c>
      <c r="B20" s="11">
        <v>28000</v>
      </c>
    </row>
    <row r="21" spans="1:2" x14ac:dyDescent="0.25">
      <c r="A21" t="s">
        <v>136</v>
      </c>
      <c r="B21" s="8">
        <v>0.02</v>
      </c>
    </row>
    <row r="23" spans="1:2" x14ac:dyDescent="0.25">
      <c r="A23" t="s">
        <v>137</v>
      </c>
      <c r="B23" s="5">
        <f>ajd_pct*price+itp_pct*price+broker_pct*price+dd_pct*price+notary_f+registry_f+spv_f+taxadv_f</f>
        <v>341825</v>
      </c>
    </row>
    <row r="24" spans="1:2" x14ac:dyDescent="0.25">
      <c r="A24" t="s">
        <v>138</v>
      </c>
      <c r="B24" s="5">
        <f>(reno_u*(units_c-1)+appl_u*units_c+common_f+deep_f)*(1+conting_pct)</f>
        <v>86000</v>
      </c>
    </row>
    <row r="25" spans="1:2" x14ac:dyDescent="0.25">
      <c r="A25" t="s">
        <v>139</v>
      </c>
      <c r="B25" s="5">
        <f>(ffe_u+itl_u)*units_c</f>
        <v>163200.00000000003</v>
      </c>
    </row>
    <row r="26" spans="1:2" x14ac:dyDescent="0.25">
      <c r="A26" t="s">
        <v>140</v>
      </c>
      <c r="B26" s="5">
        <f>permits_f+arch_f</f>
        <v>61000</v>
      </c>
    </row>
    <row r="27" spans="1:2" x14ac:dyDescent="0.25">
      <c r="A27" t="s">
        <v>141</v>
      </c>
      <c r="B27" s="5">
        <f>price+B23+B24+B25+B26</f>
        <v>3902025</v>
      </c>
    </row>
    <row r="28" spans="1:2" x14ac:dyDescent="0.25">
      <c r="A28" t="s">
        <v>142</v>
      </c>
      <c r="B28" s="5">
        <f>gp_fee_pct*cost_base/(1-gp_fee_pct)</f>
        <v>79633.16326530612</v>
      </c>
    </row>
    <row r="29" spans="1:2" x14ac:dyDescent="0.25">
      <c r="A29" s="3" t="s">
        <v>143</v>
      </c>
      <c r="B29" s="5">
        <f>cost_base+B28</f>
        <v>3981658.163265306</v>
      </c>
    </row>
    <row r="30" spans="1:1" x14ac:dyDescent="0.25">
      <c r="A30" s="3" t="s">
        <v>144</v>
      </c>
    </row>
    <row r="31" spans="1:2" x14ac:dyDescent="0.25">
      <c r="A31" t="s">
        <v>145</v>
      </c>
      <c r="B31" s="5">
        <f>0*price</f>
        <v>0</v>
      </c>
    </row>
    <row r="32" spans="1:2" x14ac:dyDescent="0.25">
      <c r="A32" t="s">
        <v>146</v>
      </c>
      <c r="B32" s="5">
        <f>vat_works*B24</f>
        <v>18060</v>
      </c>
    </row>
    <row r="33" spans="1:2" x14ac:dyDescent="0.25">
      <c r="A33" t="s">
        <v>147</v>
      </c>
      <c r="B33" s="5">
        <f>vat_ffe*B25</f>
        <v>34272.00000000001</v>
      </c>
    </row>
    <row r="34" spans="1:2" x14ac:dyDescent="0.25">
      <c r="A34" t="s">
        <v>148</v>
      </c>
      <c r="B34" s="5">
        <f>vat_soft*B26</f>
        <v>12810</v>
      </c>
    </row>
    <row r="35" spans="1:2" x14ac:dyDescent="0.25">
      <c r="A35" t="s">
        <v>149</v>
      </c>
      <c r="B35" s="5">
        <f>vat_fees*(B23-ajd_pct*price-itp_pct*price)</f>
        <v>25714.5</v>
      </c>
    </row>
    <row r="36" spans="1:2" x14ac:dyDescent="0.25">
      <c r="A36" s="3" t="s">
        <v>150</v>
      </c>
      <c r="B36" s="5">
        <f>SUM(B31:B35)</f>
        <v>90856.5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6" width="12" customWidth="1"/>
  </cols>
  <sheetData>
    <row r="1" spans="1:1" x14ac:dyDescent="0.25">
      <c r="A1" s="2" t="s">
        <v>151</v>
      </c>
    </row>
    <row r="2" spans="3:6" x14ac:dyDescent="0.25">
      <c r="C2" s="3" t="s">
        <v>152</v>
      </c>
      <c r="D2" s="3" t="s">
        <v>153</v>
      </c>
      <c r="E2" s="3" t="s">
        <v>154</v>
      </c>
      <c r="F2" s="3" t="s">
        <v>155</v>
      </c>
    </row>
    <row r="3" spans="1:6" x14ac:dyDescent="0.25">
      <c r="A3" t="s">
        <v>103</v>
      </c>
      <c r="C3" s="6">
        <f>occ_y1</f>
        <v>0.76</v>
      </c>
      <c r="D3" s="6">
        <f>occ_y2</f>
        <v>0.79</v>
      </c>
      <c r="E3" s="6">
        <f>occ_stab</f>
        <v>0.8199991232876713</v>
      </c>
      <c r="F3" s="6">
        <f>occ_stab</f>
        <v>0.8199991232876713</v>
      </c>
    </row>
    <row r="4" spans="1:6" x14ac:dyDescent="0.25">
      <c r="A4" t="s">
        <v>156</v>
      </c>
      <c r="C4" s="5">
        <f>blended_incl/(1+iva)*adr_y1f</f>
        <v>119.94948631892524</v>
      </c>
      <c r="D4" s="5">
        <f>blended_incl/(1+iva)</f>
        <v>126.26261717781604</v>
      </c>
      <c r="E4" s="5">
        <f>D4*(1+adr_infl)</f>
        <v>128.78786952137236</v>
      </c>
      <c r="F4" s="5">
        <f>E4*(1+adr_infl)</f>
        <v>131.3636269117998</v>
      </c>
    </row>
    <row r="5" spans="1:6" x14ac:dyDescent="0.25">
      <c r="A5" t="s">
        <v>157</v>
      </c>
      <c r="C5" s="5">
        <f>C3*365*C4*unit_n</f>
        <v>598931.7750876575</v>
      </c>
      <c r="D5" s="5">
        <f>D3*365*D4*unit_n</f>
        <v>655340.8619380187</v>
      </c>
      <c r="E5" s="5">
        <f>E3*365*E4*unit_n</f>
        <v>693831.0264413131</v>
      </c>
      <c r="F5" s="5">
        <f>F3*365*F4*unit_n</f>
        <v>707707.6469701392</v>
      </c>
    </row>
    <row r="6" spans="1:6" x14ac:dyDescent="0.25">
      <c r="A6" t="s">
        <v>158</v>
      </c>
      <c r="C6" s="5">
        <f>clean_base*C3/occ_stab</f>
        <v>58506.18181818182</v>
      </c>
      <c r="D6" s="5">
        <f>clean_base*D3/occ_stab</f>
        <v>60815.636363636375</v>
      </c>
      <c r="E6" s="5">
        <f>clean_base*E3/occ_stab</f>
        <v>63125.02341818183</v>
      </c>
      <c r="F6" s="5">
        <f>clean_base*F3/occ_stab</f>
        <v>63125.02341818183</v>
      </c>
    </row>
    <row r="7" spans="1:6" x14ac:dyDescent="0.25">
      <c r="A7" t="s">
        <v>159</v>
      </c>
      <c r="C7" s="5">
        <f>mtr_rent_a*(1+mtr_rinfl)^MAX(0,1-2)</f>
        <v>0</v>
      </c>
      <c r="D7" s="5">
        <f>mtr_rent_a*(1+mtr_rinfl)^MAX(0,2-2)</f>
        <v>0</v>
      </c>
      <c r="E7" s="5">
        <f>mtr_rent_a*(1+mtr_rinfl)^MAX(0,3-2)</f>
        <v>0</v>
      </c>
      <c r="F7" s="5">
        <f>mtr_rent_a*(1+mtr_rinfl)^MAX(0,4-2)</f>
        <v>0</v>
      </c>
    </row>
    <row r="8" spans="1:6" x14ac:dyDescent="0.25">
      <c r="A8" t="s">
        <v>160</v>
      </c>
      <c r="C8" s="5">
        <f>(anc_a+anc_units)*(1+cost_infl)^MAX(0,1-2)</f>
        <v>0</v>
      </c>
      <c r="D8" s="5">
        <f>(anc_a+anc_units)*(1+cost_infl)^MAX(0,2-2)</f>
        <v>0</v>
      </c>
      <c r="E8" s="5">
        <f>(anc_a+anc_units)*(1+cost_infl)^MAX(0,3-2)</f>
        <v>0</v>
      </c>
      <c r="F8" s="5">
        <f>(anc_a+anc_units)*(1+cost_infl)^MAX(0,4-2)</f>
        <v>0</v>
      </c>
    </row>
    <row r="9" spans="1:6" x14ac:dyDescent="0.25">
      <c r="A9" s="3" t="s">
        <v>161</v>
      </c>
      <c r="C9" s="5">
        <f>C5+C6+C7+C8</f>
        <v>657437.9569058393</v>
      </c>
      <c r="D9" s="5">
        <f>D5+D6+D7+D8</f>
        <v>716156.498301655</v>
      </c>
      <c r="E9" s="5">
        <f>E5+E6+E7+E8</f>
        <v>756956.0498594949</v>
      </c>
      <c r="F9" s="5">
        <f>F5+F6+F7+F8</f>
        <v>770832.670388321</v>
      </c>
    </row>
    <row r="10" spans="1:6" x14ac:dyDescent="0.25">
      <c r="A10" t="s">
        <v>162</v>
      </c>
      <c r="C10" s="5">
        <f>-(C5+C6)*comm_pct</f>
        <v>-111764.45267399268</v>
      </c>
      <c r="D10" s="5">
        <f>-(D5+D6)*comm_pct</f>
        <v>-121746.60471128137</v>
      </c>
      <c r="E10" s="5">
        <f>-(E5+E6)*comm_pct</f>
        <v>-128682.52847611414</v>
      </c>
      <c r="F10" s="5">
        <f>-(F5+F6)*comm_pct</f>
        <v>-131041.55396601459</v>
      </c>
    </row>
    <row r="11" spans="1:6" x14ac:dyDescent="0.25">
      <c r="A11" t="s">
        <v>163</v>
      </c>
      <c r="C11" s="5">
        <f>-turn_base*C3/occ_stab*hk_hours*hk_rate*C35</f>
        <v>-53926.56000000003</v>
      </c>
      <c r="D11" s="5">
        <f>-turn_base*D3/occ_stab*hk_hours*hk_rate*D35</f>
        <v>-57176.344800000035</v>
      </c>
      <c r="E11" s="5">
        <f>-turn_base*E3/occ_stab*hk_hours*hk_rate*E35</f>
        <v>-60534.48564679684</v>
      </c>
      <c r="F11" s="5">
        <f>-turn_base*F3/occ_stab*hk_hours*hk_rate*F35</f>
        <v>-61745.175359732784</v>
      </c>
    </row>
    <row r="12" spans="1:6" x14ac:dyDescent="0.25">
      <c r="A12" t="s">
        <v>164</v>
      </c>
      <c r="C12" s="5">
        <f>-turn_base*C3/occ_stab*linen_t*C35</f>
        <v>-9986.400000000005</v>
      </c>
      <c r="D12" s="5">
        <f>-turn_base*D3/occ_stab*linen_t*D35</f>
        <v>-10588.212000000007</v>
      </c>
      <c r="E12" s="5">
        <f>-turn_base*E3/occ_stab*linen_t*E35</f>
        <v>-11210.089934592006</v>
      </c>
      <c r="F12" s="5">
        <f>-turn_base*F3/occ_stab*linen_t*F35</f>
        <v>-11434.291733283848</v>
      </c>
    </row>
    <row r="13" spans="1:6" x14ac:dyDescent="0.25">
      <c r="A13" t="s">
        <v>165</v>
      </c>
      <c r="C13" s="5">
        <f>-turn_base*C3/occ_stab*amen_t*C35</f>
        <v>-5991.840000000003</v>
      </c>
      <c r="D13" s="5">
        <f>-turn_base*D3/occ_stab*amen_t*D35</f>
        <v>-6352.927200000005</v>
      </c>
      <c r="E13" s="5">
        <f>-turn_base*E3/occ_stab*amen_t*E35</f>
        <v>-6726.053960755204</v>
      </c>
      <c r="F13" s="5">
        <f>-turn_base*F3/occ_stab*amen_t*F35</f>
        <v>-6860.575039970309</v>
      </c>
    </row>
    <row r="14" spans="1:6" x14ac:dyDescent="0.25">
      <c r="A14" s="3" t="s">
        <v>166</v>
      </c>
      <c r="C14" s="5">
        <f>C10+C11+C12+C13</f>
        <v>-181669.2526739927</v>
      </c>
      <c r="D14" s="5">
        <f>D10+D11+D12+D13</f>
        <v>-195864.08871128142</v>
      </c>
      <c r="E14" s="5">
        <f>E10+E11+E12+E13</f>
        <v>-207153.1580182582</v>
      </c>
      <c r="F14" s="5">
        <f>F10+F11+F12+F13</f>
        <v>-211081.59609900153</v>
      </c>
    </row>
    <row r="15" spans="1:6" x14ac:dyDescent="0.25">
      <c r="A15" t="s">
        <v>167</v>
      </c>
      <c r="C15" s="5">
        <f>-admin_m*12*C35</f>
        <v>-2400</v>
      </c>
      <c r="D15" s="5">
        <f>-admin_m*12*D35</f>
        <v>-2448</v>
      </c>
      <c r="E15" s="5">
        <f>-admin_m*12*E35</f>
        <v>-2496.96</v>
      </c>
      <c r="F15" s="5">
        <f>-admin_m*12*F35</f>
        <v>-2546.8992000000003</v>
      </c>
    </row>
    <row r="16" spans="1:6" x14ac:dyDescent="0.25">
      <c r="A16" t="s">
        <v>168</v>
      </c>
      <c r="C16" s="5">
        <f>-(unit_n*util_m+mtr_n*mtr_util_m+cost_unit_n*commu_m)*12*C35</f>
        <v>-29592</v>
      </c>
      <c r="D16" s="5">
        <f>-(unit_n*util_m+mtr_n*mtr_util_m+cost_unit_n*commu_m)*12*D35</f>
        <v>-30183.84</v>
      </c>
      <c r="E16" s="5">
        <f>-(unit_n*util_m+mtr_n*mtr_util_m+cost_unit_n*commu_m)*12*E35</f>
        <v>-30787.5168</v>
      </c>
      <c r="F16" s="5">
        <f>-(unit_n*util_m+mtr_n*mtr_util_m+cost_unit_n*commu_m)*12*F35</f>
        <v>-31403.267136000006</v>
      </c>
    </row>
    <row r="17" spans="1:6" x14ac:dyDescent="0.25">
      <c r="A17" t="s">
        <v>169</v>
      </c>
      <c r="C17" s="5">
        <f>-C9*maint_pct</f>
        <v>-7889.255482870071</v>
      </c>
      <c r="D17" s="5">
        <f>-D9*maint_pct</f>
        <v>-8593.877979619861</v>
      </c>
      <c r="E17" s="5">
        <f>-E9*maint_pct</f>
        <v>-9083.47259831394</v>
      </c>
      <c r="F17" s="5">
        <f>-F9*maint_pct</f>
        <v>-9249.992044659853</v>
      </c>
    </row>
    <row r="18" spans="1:6" x14ac:dyDescent="0.25">
      <c r="A18" t="s">
        <v>170</v>
      </c>
      <c r="C18" s="5">
        <f>-cost_unit_n*12*it_m*C35</f>
        <v>-8640</v>
      </c>
      <c r="D18" s="5">
        <f>-cost_unit_n*12*it_m*D35</f>
        <v>-8812.8</v>
      </c>
      <c r="E18" s="5">
        <f>-cost_unit_n*12*it_m*E35</f>
        <v>-8989.056</v>
      </c>
      <c r="F18" s="5">
        <f>-cost_unit_n*12*it_m*F35</f>
        <v>-9168.837120000002</v>
      </c>
    </row>
    <row r="19" spans="1:6" x14ac:dyDescent="0.25">
      <c r="A19" t="s">
        <v>171</v>
      </c>
      <c r="C19" s="5">
        <f>-1800*C35</f>
        <v>-1800</v>
      </c>
      <c r="D19" s="5">
        <f>-1800*D35</f>
        <v>-1836</v>
      </c>
      <c r="E19" s="5">
        <f>-1800*E35</f>
        <v>-1872.72</v>
      </c>
      <c r="F19" s="5">
        <f>-1800*F35</f>
        <v>-1910.1744000000003</v>
      </c>
    </row>
    <row r="20" spans="1:6" x14ac:dyDescent="0.25">
      <c r="A20" t="s">
        <v>172</v>
      </c>
      <c r="C20" s="5">
        <f>-15000*C35</f>
        <v>-15000</v>
      </c>
      <c r="D20" s="5">
        <f>-15000*D35</f>
        <v>-15300</v>
      </c>
      <c r="E20" s="5">
        <f>-15000*E35</f>
        <v>-15606</v>
      </c>
      <c r="F20" s="5">
        <f>-15000*F35</f>
        <v>-15918.120000000003</v>
      </c>
    </row>
    <row r="21" spans="1:6" x14ac:dyDescent="0.25">
      <c r="A21" t="s">
        <v>173</v>
      </c>
      <c r="C21" s="5">
        <f>-4*cost_unit_n*12*C35</f>
        <v>-864</v>
      </c>
      <c r="D21" s="5">
        <f>-4*cost_unit_n*12*D35</f>
        <v>-881.28</v>
      </c>
      <c r="E21" s="5">
        <f>-4*cost_unit_n*12*E35</f>
        <v>-898.9056</v>
      </c>
      <c r="F21" s="5">
        <f>-4*cost_unit_n*12*F35</f>
        <v>-916.8837120000002</v>
      </c>
    </row>
    <row r="22" spans="1:6" x14ac:dyDescent="0.25">
      <c r="A22" s="3" t="s">
        <v>174</v>
      </c>
      <c r="C22" s="5">
        <f>C15+C16+C17+C18+C19+C20+C21</f>
        <v>-66185.25548287007</v>
      </c>
      <c r="D22" s="5">
        <f>D15+D16+D17+D18+D19+D20+D21</f>
        <v>-68055.79797961986</v>
      </c>
      <c r="E22" s="5">
        <f>E15+E16+E17+E18+E19+E20+E21</f>
        <v>-69734.63099831394</v>
      </c>
      <c r="F22" s="5">
        <f>F15+F16+F17+F18+F19+F20+F21</f>
        <v>-71114.17361265987</v>
      </c>
    </row>
    <row r="23" spans="1:6" x14ac:dyDescent="0.25">
      <c r="A23" s="3" t="s">
        <v>175</v>
      </c>
      <c r="C23" s="5">
        <f>C9+C14+C22</f>
        <v>409583.44874897646</v>
      </c>
      <c r="D23" s="5">
        <f>D9+D14+D22</f>
        <v>452236.6116107537</v>
      </c>
      <c r="E23" s="5">
        <f>E9+E14+E22</f>
        <v>480068.2608429228</v>
      </c>
      <c r="F23" s="5">
        <f>F9+F14+F22</f>
        <v>488636.9006766598</v>
      </c>
    </row>
    <row r="24" spans="1:6" x14ac:dyDescent="0.25">
      <c r="A24" t="s">
        <v>176</v>
      </c>
      <c r="C24" s="5">
        <f>-C9*mgmt_pct</f>
        <v>-101902.88332040509</v>
      </c>
      <c r="D24" s="5">
        <f>-D9*mgmt_pct</f>
        <v>-111004.25723675653</v>
      </c>
      <c r="E24" s="5">
        <f>-E9*mgmt_pct</f>
        <v>-117328.1877282217</v>
      </c>
      <c r="F24" s="5">
        <f>-F9*mgmt_pct</f>
        <v>-119479.06391018975</v>
      </c>
    </row>
    <row r="25" spans="1:6" x14ac:dyDescent="0.25">
      <c r="A25" s="3" t="s">
        <v>177</v>
      </c>
      <c r="C25" s="5">
        <f>C24</f>
        <v>-101902.88332040509</v>
      </c>
      <c r="D25" s="5">
        <f>D24</f>
        <v>-111004.25723675653</v>
      </c>
      <c r="E25" s="5">
        <f>E24</f>
        <v>-117328.1877282217</v>
      </c>
      <c r="F25" s="5">
        <f>F24</f>
        <v>-119479.06391018975</v>
      </c>
    </row>
    <row r="26" spans="1:6" x14ac:dyDescent="0.25">
      <c r="A26" s="3" t="s">
        <v>178</v>
      </c>
      <c r="C26" s="5">
        <f>C23+C25</f>
        <v>307680.56542857137</v>
      </c>
      <c r="D26" s="5">
        <f>D23+D25</f>
        <v>341232.3543739972</v>
      </c>
      <c r="E26" s="5">
        <f>E23+E25</f>
        <v>362740.0731147011</v>
      </c>
      <c r="F26" s="5">
        <f>F23+F25</f>
        <v>369157.83676647</v>
      </c>
    </row>
    <row r="27" spans="1:6" x14ac:dyDescent="0.25">
      <c r="A27" t="s">
        <v>179</v>
      </c>
      <c r="C27" s="5">
        <f>-ibi_a*C35</f>
        <v>-6100</v>
      </c>
      <c r="D27" s="5">
        <f>-ibi_a*D35</f>
        <v>-6222</v>
      </c>
      <c r="E27" s="5">
        <f>-ibi_a*E35</f>
        <v>-6346.44</v>
      </c>
      <c r="F27" s="5">
        <f>-ibi_a*F35</f>
        <v>-6473.368800000001</v>
      </c>
    </row>
    <row r="28" spans="1:6" x14ac:dyDescent="0.25">
      <c r="A28" t="s">
        <v>180</v>
      </c>
      <c r="C28" s="5">
        <f>-cost_unit_n*12*ins_m*C35</f>
        <v>-3240</v>
      </c>
      <c r="D28" s="5">
        <f>-cost_unit_n*12*ins_m*D35</f>
        <v>-3304.8</v>
      </c>
      <c r="E28" s="5">
        <f>-cost_unit_n*12*ins_m*E35</f>
        <v>-3370.896</v>
      </c>
      <c r="F28" s="5">
        <f>-cost_unit_n*12*ins_m*F35</f>
        <v>-3438.3139200000005</v>
      </c>
    </row>
    <row r="29" spans="1:6" x14ac:dyDescent="0.25">
      <c r="A29" s="3" t="s">
        <v>181</v>
      </c>
      <c r="C29" s="5">
        <f>C27+C28</f>
        <v>-9340</v>
      </c>
      <c r="D29" s="5">
        <f>D27+D28</f>
        <v>-9526.8</v>
      </c>
      <c r="E29" s="5">
        <f>E27+E28</f>
        <v>-9717.336</v>
      </c>
      <c r="F29" s="5">
        <f>F27+F28</f>
        <v>-9911.68272</v>
      </c>
    </row>
    <row r="30" spans="1:6" x14ac:dyDescent="0.25">
      <c r="A30" s="3" t="s">
        <v>182</v>
      </c>
      <c r="C30" s="5">
        <f>C26+C29</f>
        <v>298340.56542857137</v>
      </c>
      <c r="D30" s="5">
        <f>D26+D29</f>
        <v>331705.5543739972</v>
      </c>
      <c r="E30" s="5">
        <f>E26+E29</f>
        <v>353022.73711470107</v>
      </c>
      <c r="F30" s="5">
        <f>F26+F29</f>
        <v>359246.15404647</v>
      </c>
    </row>
    <row r="31" spans="1:6" x14ac:dyDescent="0.25">
      <c r="A31" t="s">
        <v>183</v>
      </c>
      <c r="C31" s="5">
        <f>-C9*ffe_pct</f>
        <v>-16435.94892264598</v>
      </c>
      <c r="D31" s="5">
        <f>-D9*ffe_pct</f>
        <v>-17903.912457541377</v>
      </c>
      <c r="E31" s="5">
        <f>-E9*ffe_pct</f>
        <v>-18923.901246487374</v>
      </c>
      <c r="F31" s="5">
        <f>-F9*ffe_pct</f>
        <v>-19270.81675970803</v>
      </c>
    </row>
    <row r="32" spans="1:6" x14ac:dyDescent="0.25">
      <c r="A32" s="3" t="s">
        <v>184</v>
      </c>
      <c r="C32" s="5">
        <f>C30+C31</f>
        <v>281904.61650592537</v>
      </c>
      <c r="D32" s="5">
        <f>D30+D31</f>
        <v>313801.6419164558</v>
      </c>
      <c r="E32" s="5">
        <f>E30+E31</f>
        <v>334098.8358682137</v>
      </c>
      <c r="F32" s="5">
        <f>F30+F31</f>
        <v>339975.33728676196</v>
      </c>
    </row>
    <row r="34" spans="1:6" x14ac:dyDescent="0.25">
      <c r="A34" t="s">
        <v>185</v>
      </c>
      <c r="C34" s="5">
        <f>C5+C6+C10+C11+C12+C13</f>
        <v>475768.7042318465</v>
      </c>
      <c r="D34" s="5">
        <f>D5+D6+D10+D11+D12+D13</f>
        <v>520292.40959037363</v>
      </c>
      <c r="E34" s="5">
        <f>E5+E6+E10+E11+E12+E13</f>
        <v>549802.8918412367</v>
      </c>
      <c r="F34" s="5">
        <f>F5+F6+F10+F11+F12+F13</f>
        <v>559751.0742893196</v>
      </c>
    </row>
    <row r="35" spans="1:6" x14ac:dyDescent="0.25">
      <c r="A35" t="s">
        <v>186</v>
      </c>
      <c r="C35" s="13">
        <f>(1+cost_infl)^0</f>
        <v>1</v>
      </c>
      <c r="D35" s="13">
        <f>(1+cost_infl)^1</f>
        <v>1.02</v>
      </c>
      <c r="E35" s="13">
        <f>(1+cost_infl)^2</f>
        <v>1.0404</v>
      </c>
      <c r="F35" s="13">
        <f>(1+cost_infl)^3</f>
        <v>1.0612080000000002</v>
      </c>
    </row>
    <row r="36" spans="1:6" x14ac:dyDescent="0.25">
      <c r="A36" t="s">
        <v>187</v>
      </c>
      <c r="C36" s="5">
        <f>C34+C15+C16+C17+C18+C24+C27+C28+C31+C8+C7</f>
        <v>299568.61650592537</v>
      </c>
      <c r="D36" s="5">
        <f>D34+D15+D16+D17+D18+D24+D27+D28+D31+D8+D7</f>
        <v>331818.92191645585</v>
      </c>
      <c r="E36" s="5">
        <f>E34+E15+E16+E17+E18+E24+E27+E28+E31+E8+E7</f>
        <v>352476.4614682137</v>
      </c>
      <c r="F36" s="5">
        <f>F34+F15+F16+F17+F18+F24+F27+F28+F31+F8+F7</f>
        <v>358720.51539876196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6" width="12" customWidth="1"/>
  </cols>
  <sheetData>
    <row r="1" spans="1:1" x14ac:dyDescent="0.25">
      <c r="A1" s="2" t="s">
        <v>188</v>
      </c>
    </row>
    <row r="3" spans="1:2" x14ac:dyDescent="0.25">
      <c r="A3" t="s">
        <v>13</v>
      </c>
      <c r="B3" s="5">
        <f>ltv*tpc</f>
        <v>1990829.081632653</v>
      </c>
    </row>
    <row r="4" spans="1:2" x14ac:dyDescent="0.25">
      <c r="A4" t="s">
        <v>15</v>
      </c>
      <c r="B4" s="5">
        <f>apertura_pct*B3+ajdm_pct*B3+tasacion_u*units_c+notaria_pct*B3+registro_pct*B3+gestoria_f</f>
        <v>46161.996173469386</v>
      </c>
    </row>
    <row r="5" spans="1:2" x14ac:dyDescent="0.25">
      <c r="A5" t="s">
        <v>16</v>
      </c>
      <c r="B5" s="5">
        <f>tpc-B3+B4</f>
        <v>2036991.0778061224</v>
      </c>
    </row>
    <row r="6" spans="1:2" x14ac:dyDescent="0.25">
      <c r="A6" t="s">
        <v>19</v>
      </c>
      <c r="B6" s="5">
        <f>B5*(1-gp_pct)</f>
        <v>1629592.862244898</v>
      </c>
    </row>
    <row r="7" spans="1:2" x14ac:dyDescent="0.25">
      <c r="A7" t="s">
        <v>20</v>
      </c>
      <c r="B7" s="5">
        <f>B5*gp_pct</f>
        <v>407398.2155612245</v>
      </c>
    </row>
    <row r="8" spans="1:2" x14ac:dyDescent="0.25">
      <c r="A8" t="s">
        <v>21</v>
      </c>
      <c r="B8" s="5">
        <f>-PMT(rate/12,term*12,B3)*12</f>
        <v>162122.36294554902</v>
      </c>
    </row>
    <row r="10" spans="3:6" x14ac:dyDescent="0.25">
      <c r="C10" s="3" t="s">
        <v>152</v>
      </c>
      <c r="D10" s="3" t="s">
        <v>153</v>
      </c>
      <c r="E10" s="3" t="s">
        <v>154</v>
      </c>
      <c r="F10" s="3" t="s">
        <v>155</v>
      </c>
    </row>
    <row r="11" spans="1:6" x14ac:dyDescent="0.25">
      <c r="A11" t="s">
        <v>184</v>
      </c>
      <c r="C11" s="5">
        <f>'P&amp;L'!C32</f>
        <v>281904.61650592537</v>
      </c>
      <c r="D11" s="5">
        <f>'P&amp;L'!D32</f>
        <v>313801.6419164558</v>
      </c>
      <c r="E11" s="5">
        <f>'P&amp;L'!E32</f>
        <v>334098.8358682137</v>
      </c>
      <c r="F11" s="5">
        <f>'P&amp;L'!F32</f>
        <v>339975.33728676196</v>
      </c>
    </row>
    <row r="12" spans="1:6" x14ac:dyDescent="0.25">
      <c r="A12" t="s">
        <v>189</v>
      </c>
      <c r="C12" s="5">
        <f>IF(B$3=0,0,CUMIPMT(rate/12,term*12,B$3,1,12,0))</f>
        <v>-53384.041132831364</v>
      </c>
      <c r="D12" s="5">
        <f>IF(B$3=0,0,CUMIPMT(rate/12,term*12,B$3,13,24,0))</f>
        <v>-50355.75759294734</v>
      </c>
      <c r="E12" s="5">
        <f>IF(B$3=0,0,CUMIPMT(rate/12,term*12,B$3,25,36,0))</f>
        <v>-47243.13854884496</v>
      </c>
      <c r="F12" s="5">
        <f>IF(B$3=0,0,CUMIPMT(rate/12,term*12,B$3,37,48,0))</f>
        <v>-44043.8353177876</v>
      </c>
    </row>
    <row r="13" spans="1:6" x14ac:dyDescent="0.25">
      <c r="A13" t="s">
        <v>190</v>
      </c>
      <c r="C13" s="5">
        <f>IF(B$3=0,0,CUMPRINC(rate/12,term*12,B$3,1,12,0))</f>
        <v>-108738.32181271764</v>
      </c>
      <c r="D13" s="5">
        <f>IF(B$3=0,0,CUMPRINC(rate/12,term*12,B$3,13,24,0))</f>
        <v>-111766.60535260168</v>
      </c>
      <c r="E13" s="5">
        <f>IF(B$3=0,0,CUMPRINC(rate/12,term*12,B$3,25,36,0))</f>
        <v>-114879.22439670407</v>
      </c>
      <c r="F13" s="5">
        <f>IF(B$3=0,0,CUMPRINC(rate/12,term*12,B$3,37,48,0))</f>
        <v>-118078.52762776142</v>
      </c>
    </row>
    <row r="14" spans="1:6" x14ac:dyDescent="0.25">
      <c r="A14" t="s">
        <v>191</v>
      </c>
      <c r="C14" s="5">
        <f>C11+C12+C13</f>
        <v>119782.25356037637</v>
      </c>
      <c r="D14" s="5">
        <f>D11+D12+D13</f>
        <v>151679.2789709068</v>
      </c>
      <c r="E14" s="5">
        <f>E11+E12+E13</f>
        <v>171976.47292266466</v>
      </c>
      <c r="F14" s="5">
        <f>F11+F12+F13</f>
        <v>177852.97434121295</v>
      </c>
    </row>
    <row r="15" spans="1:6" x14ac:dyDescent="0.25">
      <c r="A15" t="s">
        <v>192</v>
      </c>
      <c r="C15" s="5">
        <f>MAX(0,C14)</f>
        <v>119782.25356037637</v>
      </c>
      <c r="D15" s="5">
        <f>MAX(0,D14)</f>
        <v>151679.2789709068</v>
      </c>
      <c r="E15" s="5">
        <f>MAX(0,E14)</f>
        <v>171976.47292266466</v>
      </c>
      <c r="F15" s="5">
        <f>MAX(0,F14)</f>
        <v>177852.97434121295</v>
      </c>
    </row>
    <row r="16" spans="1:6" x14ac:dyDescent="0.25">
      <c r="A16" t="s">
        <v>193</v>
      </c>
      <c r="C16" s="5">
        <f>1759960.29122449</f>
        <v>1759960.29122449</v>
      </c>
      <c r="D16" s="5">
        <f>1797265.247446284</f>
        <v>1797265.247446284</v>
      </c>
      <c r="E16" s="5">
        <f>1809995.5702111234</f>
        <v>1809995.5702111234</v>
      </c>
      <c r="F16" s="5">
        <f>1806207.5432228313</f>
        <v>1806207.5432228313</v>
      </c>
    </row>
    <row r="17" spans="1:6" x14ac:dyDescent="0.25">
      <c r="A17" t="s">
        <v>194</v>
      </c>
      <c r="C17" s="5">
        <f>1825144.005714286</f>
        <v>1825144.005714286</v>
      </c>
      <c r="D17" s="5">
        <f>1936836.387209903</f>
        <v>1936836.387209903</v>
      </c>
      <c r="E17" s="5">
        <f>2033352.1197171595</f>
        <v>2033352.1197171595</v>
      </c>
      <c r="F17" s="5">
        <f>2123263.454344511</f>
        <v>2123263.454344511</v>
      </c>
    </row>
    <row r="18" spans="1:6" x14ac:dyDescent="0.25">
      <c r="A18" t="s">
        <v>195</v>
      </c>
      <c r="C18" s="5">
        <f>0</f>
        <v>0</v>
      </c>
      <c r="D18" s="5">
        <f>C18+C22</f>
        <v>95825.80284830109</v>
      </c>
      <c r="E18" s="5">
        <f>D18+D22</f>
        <v>217169.22602502652</v>
      </c>
      <c r="F18" s="5">
        <f>E18+E22</f>
        <v>354750.4043631583</v>
      </c>
    </row>
    <row r="19" spans="1:6" x14ac:dyDescent="0.25">
      <c r="A19" t="s">
        <v>196</v>
      </c>
      <c r="C19" s="5">
        <f>119782.25356037637</f>
        <v>119782.25356037637</v>
      </c>
      <c r="D19" s="5">
        <f>151679.2789709068</f>
        <v>151679.2789709068</v>
      </c>
      <c r="E19" s="5">
        <f>171976.47292266466</f>
        <v>171976.47292266466</v>
      </c>
      <c r="F19" s="5">
        <f>177852.97434121295</f>
        <v>177852.97434121295</v>
      </c>
    </row>
    <row r="20" spans="1:6" x14ac:dyDescent="0.25">
      <c r="A20" t="s">
        <v>197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</row>
    <row r="21" spans="1:6" x14ac:dyDescent="0.25">
      <c r="A21" t="s">
        <v>198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</row>
    <row r="22" spans="1:6" x14ac:dyDescent="0.25">
      <c r="A22" t="s">
        <v>199</v>
      </c>
      <c r="C22" s="5">
        <f>95825.80284830109</f>
        <v>95825.80284830109</v>
      </c>
      <c r="D22" s="5">
        <f>121343.42317672544</f>
        <v>121343.42317672544</v>
      </c>
      <c r="E22" s="5">
        <f>137581.17833813172</f>
        <v>137581.17833813172</v>
      </c>
      <c r="F22" s="5">
        <f>142282.37947297035</f>
        <v>142282.37947297035</v>
      </c>
    </row>
    <row r="23" spans="1:6" x14ac:dyDescent="0.25">
      <c r="A23" t="s">
        <v>200</v>
      </c>
      <c r="C23" s="5">
        <f>23956.450712075282</f>
        <v>23956.450712075282</v>
      </c>
      <c r="D23" s="5">
        <f>30335.855794181363</f>
        <v>30335.855794181363</v>
      </c>
      <c r="E23" s="5">
        <f>34395.29458453294</f>
        <v>34395.29458453294</v>
      </c>
      <c r="F23" s="5">
        <f>35570.594868242595</f>
        <v>35570.594868242595</v>
      </c>
    </row>
    <row r="25" spans="1:2" x14ac:dyDescent="0.25">
      <c r="A25" t="s">
        <v>201</v>
      </c>
      <c r="B25" s="5">
        <f>'P&amp;L'!F32</f>
        <v>339975.33728676196</v>
      </c>
    </row>
    <row r="26" spans="1:2" x14ac:dyDescent="0.25">
      <c r="A26" t="s">
        <v>202</v>
      </c>
      <c r="B26" s="5">
        <f>B25/cap</f>
        <v>4856790.532668028</v>
      </c>
    </row>
    <row r="27" spans="1:2" x14ac:dyDescent="0.25">
      <c r="A27" t="s">
        <v>27</v>
      </c>
      <c r="B27" s="5">
        <f>-B26*sell_pct</f>
        <v>-97135.81065336056</v>
      </c>
    </row>
    <row r="28" spans="1:2" x14ac:dyDescent="0.25">
      <c r="A28" t="s">
        <v>203</v>
      </c>
      <c r="B28" s="5">
        <f>IF(B$3=0,0,B$3+CUMPRINC(rate/12,term*12,B$3,1,48,0))</f>
        <v>1537366.4024428683</v>
      </c>
    </row>
    <row r="29" spans="1:2" x14ac:dyDescent="0.25">
      <c r="A29" t="s">
        <v>204</v>
      </c>
      <c r="B29" s="5">
        <f>B26+B27-B28</f>
        <v>3222288.319571799</v>
      </c>
    </row>
    <row r="30" spans="1:2" x14ac:dyDescent="0.25">
      <c r="A30" t="s">
        <v>205</v>
      </c>
      <c r="B30" s="5">
        <f>MAX(0,B29-eq_total)</f>
        <v>1185297.2417656765</v>
      </c>
    </row>
    <row r="31" spans="1:2" x14ac:dyDescent="0.25">
      <c r="A31" t="s">
        <v>206</v>
      </c>
      <c r="B31" s="5">
        <f>2394647.984269356</f>
        <v>2394647.984269356</v>
      </c>
    </row>
    <row r="32" spans="1:2" x14ac:dyDescent="0.25">
      <c r="A32" t="s">
        <v>207</v>
      </c>
      <c r="B32" s="5">
        <f>827640.3353024432</f>
        <v>827640.3353024432</v>
      </c>
    </row>
    <row r="34" spans="1:6" x14ac:dyDescent="0.25">
      <c r="A34" t="s">
        <v>208</v>
      </c>
      <c r="B34" s="5">
        <f>-eq_lp</f>
        <v>-1629592.862244898</v>
      </c>
      <c r="C34" s="5">
        <f>C22</f>
        <v>95825.80284830109</v>
      </c>
      <c r="D34" s="5">
        <f>D22</f>
        <v>121343.42317672544</v>
      </c>
      <c r="E34" s="5">
        <f>E22</f>
        <v>137581.17833813172</v>
      </c>
      <c r="F34" s="5">
        <f>F22+B31</f>
        <v>2536930.3637423264</v>
      </c>
    </row>
    <row r="36" spans="1:2" x14ac:dyDescent="0.25">
      <c r="A36" s="3" t="s">
        <v>31</v>
      </c>
      <c r="B36" s="6">
        <f>IRR(B34:F34)</f>
        <v>0.1662208021010443</v>
      </c>
    </row>
    <row r="37" spans="1:2" x14ac:dyDescent="0.25">
      <c r="A37" s="3" t="s">
        <v>209</v>
      </c>
      <c r="B37" s="5">
        <f>SUM(C22:F22)+B31</f>
        <v>2891680.7681054845</v>
      </c>
    </row>
    <row r="38" spans="1:2" x14ac:dyDescent="0.25">
      <c r="A38" s="3" t="s">
        <v>210</v>
      </c>
      <c r="B38" s="7">
        <f>B37/eq_lp</f>
        <v>1.7744805068193272</v>
      </c>
    </row>
    <row r="39" spans="1:2" x14ac:dyDescent="0.25">
      <c r="A39" s="3" t="s">
        <v>211</v>
      </c>
      <c r="B39" s="6">
        <f>'P&amp;L'!E32/tpc</f>
        <v>0.08390947242799557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6" width="12" customWidth="1"/>
  </cols>
  <sheetData>
    <row r="1" spans="1:1" x14ac:dyDescent="0.25">
      <c r="A1" s="2" t="s">
        <v>212</v>
      </c>
    </row>
    <row r="3" spans="1:1" x14ac:dyDescent="0.25">
      <c r="A3" s="3" t="s">
        <v>213</v>
      </c>
    </row>
    <row r="4" spans="2:6" x14ac:dyDescent="0.25">
      <c r="B4" s="3" t="s">
        <v>214</v>
      </c>
      <c r="C4" s="3" t="s">
        <v>152</v>
      </c>
      <c r="D4" s="3" t="s">
        <v>153</v>
      </c>
      <c r="E4" s="3" t="s">
        <v>154</v>
      </c>
      <c r="F4" s="3" t="s">
        <v>155</v>
      </c>
    </row>
    <row r="5" spans="1:2" x14ac:dyDescent="0.25">
      <c r="A5" t="s">
        <v>215</v>
      </c>
      <c r="B5" s="5">
        <f>-IF(Assumptions!$B$47&gt;0,tpc,cost_base)</f>
        <v>-3941439.393939394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-90856.5</v>
      </c>
    </row>
    <row r="8" spans="1:2" x14ac:dyDescent="0.25">
      <c r="A8" t="s">
        <v>216</v>
      </c>
      <c r="B8" s="5">
        <f>Assumptions!$B$47*tpc</f>
        <v>0</v>
      </c>
    </row>
    <row r="9" spans="1:2" x14ac:dyDescent="0.25">
      <c r="A9" t="s">
        <v>217</v>
      </c>
      <c r="B9" s="5">
        <f>(-(B5+B8+B6)-B7)*(1-gp_pct)</f>
        <v>3225836.715151516</v>
      </c>
    </row>
    <row r="10" spans="1:2" x14ac:dyDescent="0.25">
      <c r="A10" t="s">
        <v>218</v>
      </c>
      <c r="B10" s="5">
        <f>(-(B5+B8+B6)-B7)*gp_pct</f>
        <v>806459.178787879</v>
      </c>
    </row>
    <row r="11" spans="1:2" x14ac:dyDescent="0.25">
      <c r="A11" s="3" t="s">
        <v>219</v>
      </c>
      <c r="B11" s="5">
        <f>SUM(B5:B10)</f>
        <v>0</v>
      </c>
    </row>
    <row r="13" spans="1:6" x14ac:dyDescent="0.25">
      <c r="A13" t="s">
        <v>184</v>
      </c>
      <c r="C13" s="5">
        <f>'P&amp;L'!C32</f>
        <v>281904.61650592537</v>
      </c>
      <c r="D13" s="5">
        <f>'P&amp;L'!D32</f>
        <v>313801.6419164558</v>
      </c>
      <c r="E13" s="5">
        <f>'P&amp;L'!E32</f>
        <v>334098.8358682137</v>
      </c>
      <c r="F13" s="5">
        <f>'P&amp;L'!F32</f>
        <v>339975.33728676196</v>
      </c>
    </row>
    <row r="14" spans="1:6" x14ac:dyDescent="0.25">
      <c r="A14" t="s">
        <v>189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</row>
    <row r="15" spans="1:6" x14ac:dyDescent="0.25">
      <c r="A15" t="s">
        <v>190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</row>
    <row r="16" spans="1:6" x14ac:dyDescent="0.25">
      <c r="A16" t="s">
        <v>220</v>
      </c>
      <c r="C16" s="5">
        <f>C13+C14+C15</f>
        <v>281904.61650592537</v>
      </c>
      <c r="D16" s="5">
        <f>D13+D14+D15</f>
        <v>313801.6419164558</v>
      </c>
      <c r="E16" s="5">
        <f>E13+E14+E15</f>
        <v>334098.8358682137</v>
      </c>
      <c r="F16" s="5">
        <f>F13+F14+F15</f>
        <v>339975.33728676196</v>
      </c>
    </row>
    <row r="17" spans="1:6" x14ac:dyDescent="0.25">
      <c r="A17" t="s">
        <v>221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</row>
    <row r="18" spans="1:6" x14ac:dyDescent="0.25">
      <c r="A18" t="s">
        <v>222</v>
      </c>
      <c r="C18" s="5">
        <f>IF(1=MIN(MAX(1,ROUNDUP(vat_months/12,0)),4),-B7,0)</f>
        <v>90856.5</v>
      </c>
      <c r="D18" s="5">
        <f>IF(2=MIN(MAX(1,ROUNDUP(vat_months/12,0)),4),-B7,0)</f>
        <v>0</v>
      </c>
      <c r="E18" s="5">
        <f>IF(3=MIN(MAX(1,ROUNDUP(vat_months/12,0)),4),-B7,0)</f>
        <v>0</v>
      </c>
      <c r="F18" s="5">
        <f>IF(4=MIN(MAX(1,ROUNDUP(vat_months/12,0)),4),-B7,0)</f>
        <v>0</v>
      </c>
    </row>
    <row r="19" spans="1:6" x14ac:dyDescent="0.25">
      <c r="A19" t="s">
        <v>223</v>
      </c>
      <c r="C19" s="5">
        <f>C16+C17+C18</f>
        <v>372761.11650592537</v>
      </c>
      <c r="D19" s="5">
        <f>C19+D16+D17+D18</f>
        <v>686562.7584223812</v>
      </c>
      <c r="E19" s="5">
        <f>D19+E16+E17+E18</f>
        <v>1020661.5942905949</v>
      </c>
      <c r="F19" s="5">
        <f>E19+F16+F17+F18</f>
        <v>1360636.931577357</v>
      </c>
    </row>
    <row r="20" spans="1:6" x14ac:dyDescent="0.25">
      <c r="A20" t="s">
        <v>224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</row>
    <row r="22" spans="1:6" x14ac:dyDescent="0.25">
      <c r="A22" t="s">
        <v>26</v>
      </c>
      <c r="C22" s="5">
        <f>IF(1=4,'P&amp;L'!F32/cap,0)</f>
        <v>0</v>
      </c>
      <c r="D22" s="5">
        <f>IF(2=4,'P&amp;L'!F32/cap,0)</f>
        <v>0</v>
      </c>
      <c r="E22" s="5">
        <f>IF(3=4,'P&amp;L'!F32/cap,0)</f>
        <v>0</v>
      </c>
      <c r="F22" s="5">
        <f>IF(4=4,'P&amp;L'!F32/cap,0)</f>
        <v>4856790.532668028</v>
      </c>
    </row>
    <row r="23" spans="1:6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-97135.81065336056</v>
      </c>
    </row>
    <row r="24" spans="1:6" x14ac:dyDescent="0.25">
      <c r="A24" t="s">
        <v>28</v>
      </c>
      <c r="C24" s="5">
        <f>IF(1&lt;4,0,IF(B8=0,0,-(B8+CUMPRINC(Assumptions!$B$48/12,Assumptions!$B$49*12,B8,1,48,0))))</f>
        <v>0</v>
      </c>
      <c r="D24" s="5">
        <f>IF(2&lt;4,0,IF(B8=0,0,-(B8+CUMPRINC(Assumptions!$B$48/12,Assumptions!$B$49*12,B8,1,48,0))))</f>
        <v>0</v>
      </c>
      <c r="E24" s="5">
        <f>IF(3&lt;4,0,IF(B8=0,0,-(B8+CUMPRINC(Assumptions!$B$48/12,Assumptions!$B$49*12,B8,1,48,0))))</f>
        <v>0</v>
      </c>
      <c r="F24" s="5">
        <f>IF(4&lt;4,0,IF(B8=0,0,-(B8+CUMPRINC(Assumptions!$B$48/12,Assumptions!$B$49*12,B8,1,48,0))))</f>
        <v>0</v>
      </c>
    </row>
    <row r="25" spans="1:6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4759654.7220146675</v>
      </c>
    </row>
    <row r="27" spans="1:6" x14ac:dyDescent="0.25">
      <c r="A27" t="s">
        <v>199</v>
      </c>
      <c r="C27" s="5">
        <f>225523.6932047403</f>
        <v>225523.6932047403</v>
      </c>
      <c r="D27" s="5">
        <f>251041.31353316468</f>
        <v>251041.31353316468</v>
      </c>
      <c r="E27" s="5">
        <f>267279.068694571</f>
        <v>267279.068694571</v>
      </c>
      <c r="F27" s="5">
        <f>271980.2698294096</f>
        <v>271980.2698294096</v>
      </c>
    </row>
    <row r="28" spans="1:6" x14ac:dyDescent="0.25">
      <c r="A28" t="s">
        <v>200</v>
      </c>
      <c r="C28" s="5">
        <f>56380.923301185074</f>
        <v>56380.923301185074</v>
      </c>
      <c r="D28" s="5">
        <f>62760.32838329114</f>
        <v>62760.32838329114</v>
      </c>
      <c r="E28" s="5">
        <f>66819.7671736427</f>
        <v>66819.7671736427</v>
      </c>
      <c r="F28" s="5">
        <f>67995.06745735236</f>
        <v>67995.06745735236</v>
      </c>
    </row>
    <row r="29" spans="1:6" x14ac:dyDescent="0.25">
      <c r="A29" t="s">
        <v>225</v>
      </c>
      <c r="C29" s="5">
        <f>IF(1=4,3725792.889264261,0)</f>
        <v>0</v>
      </c>
      <c r="D29" s="5">
        <f>IF(2=4,3725792.889264261,0)</f>
        <v>0</v>
      </c>
      <c r="E29" s="5">
        <f>IF(3=4,3725792.889264261,0)</f>
        <v>0</v>
      </c>
      <c r="F29" s="5">
        <f>IF(4=4,3725792.889264261,0)</f>
        <v>3725792.889264261</v>
      </c>
    </row>
    <row r="30" spans="1:6" x14ac:dyDescent="0.25">
      <c r="A30" t="s">
        <v>226</v>
      </c>
      <c r="C30" s="5">
        <f>IF(1=4,1033861.8327504066,0)</f>
        <v>0</v>
      </c>
      <c r="D30" s="5">
        <f>IF(2=4,1033861.8327504066,0)</f>
        <v>0</v>
      </c>
      <c r="E30" s="5">
        <f>IF(3=4,1033861.8327504066,0)</f>
        <v>0</v>
      </c>
      <c r="F30" s="5">
        <f>IF(4=4,1033861.8327504066,0)</f>
        <v>1033861.8327504066</v>
      </c>
    </row>
    <row r="31" spans="1:6" x14ac:dyDescent="0.25">
      <c r="A31" t="s">
        <v>227</v>
      </c>
      <c r="C31" s="5">
        <f>(C17+C18)*(1-gp_pct)</f>
        <v>72685.2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</row>
    <row r="32" spans="1:6" x14ac:dyDescent="0.25">
      <c r="A32" t="s">
        <v>228</v>
      </c>
      <c r="C32" s="5">
        <f>(C17+C18)*gp_pct</f>
        <v>18171.299999999996</v>
      </c>
      <c r="D32" s="5">
        <f>(D17+D18)*gp_pct</f>
        <v>0</v>
      </c>
      <c r="E32" s="5">
        <f>(E17+E18)*gp_pct</f>
        <v>0</v>
      </c>
      <c r="F32" s="5">
        <f>(F17+F18)*gp_pct</f>
        <v>0</v>
      </c>
    </row>
    <row r="33" spans="1:6" x14ac:dyDescent="0.25">
      <c r="A33" s="3" t="s">
        <v>229</v>
      </c>
      <c r="C33" s="5">
        <f>SUM(C27:C32)</f>
        <v>372761.11650592537</v>
      </c>
      <c r="D33" s="5">
        <f>SUM(D27:D32)</f>
        <v>313801.6419164558</v>
      </c>
      <c r="E33" s="5">
        <f>SUM(E27:E32)</f>
        <v>334098.8358682137</v>
      </c>
      <c r="F33" s="5">
        <f>SUM(F27:F32)</f>
        <v>5099630.059301429</v>
      </c>
    </row>
    <row r="35" spans="1:6" x14ac:dyDescent="0.25">
      <c r="A35" t="s">
        <v>230</v>
      </c>
      <c r="C35" s="5">
        <f>C16+C17+C18+C25</f>
        <v>372761.11650592537</v>
      </c>
      <c r="D35" s="5">
        <f>D16+D17+D18+D25</f>
        <v>313801.6419164558</v>
      </c>
      <c r="E35" s="5">
        <f>E16+E17+E18+E25</f>
        <v>334098.8358682137</v>
      </c>
      <c r="F35" s="5">
        <f>F16+F17+F18+F25</f>
        <v>5099630.059301429</v>
      </c>
    </row>
    <row r="36" spans="1:6" x14ac:dyDescent="0.25">
      <c r="A36" t="s">
        <v>231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</row>
    <row r="38" spans="1:6" x14ac:dyDescent="0.25">
      <c r="A38" t="s">
        <v>232</v>
      </c>
      <c r="B38" s="5">
        <f>-B9</f>
        <v>-3225836.715151516</v>
      </c>
      <c r="C38" s="5">
        <f>C27+C29+C31</f>
        <v>298208.8932047403</v>
      </c>
      <c r="D38" s="5">
        <f>D27+D29+D31</f>
        <v>251041.31353316468</v>
      </c>
      <c r="E38" s="5">
        <f>E27+E29+E31</f>
        <v>267279.068694571</v>
      </c>
      <c r="F38" s="5">
        <f>F27+F29+F31</f>
        <v>3997773.1590936705</v>
      </c>
    </row>
    <row r="39" spans="1:6" x14ac:dyDescent="0.25">
      <c r="A39" t="s">
        <v>233</v>
      </c>
      <c r="B39" s="5">
        <f>B38</f>
        <v>-3225836.715151516</v>
      </c>
      <c r="C39" s="5">
        <f>B39+C38</f>
        <v>-2927627.8219467755</v>
      </c>
      <c r="D39" s="5">
        <f>C39+D38</f>
        <v>-2676586.508413611</v>
      </c>
      <c r="E39" s="5">
        <f>D39+E38</f>
        <v>-2409307.43971904</v>
      </c>
      <c r="F39" s="5">
        <f>E39+F38</f>
        <v>1588465.7193746306</v>
      </c>
    </row>
    <row r="42" spans="1:1" x14ac:dyDescent="0.25">
      <c r="A42" s="3" t="s">
        <v>234</v>
      </c>
    </row>
    <row r="43" spans="2:6" x14ac:dyDescent="0.25">
      <c r="B43" s="3" t="s">
        <v>214</v>
      </c>
      <c r="C43" s="3" t="s">
        <v>152</v>
      </c>
      <c r="D43" s="3" t="s">
        <v>153</v>
      </c>
      <c r="E43" s="3" t="s">
        <v>154</v>
      </c>
      <c r="F43" s="3" t="s">
        <v>155</v>
      </c>
    </row>
    <row r="44" spans="1:2" x14ac:dyDescent="0.25">
      <c r="A44" t="s">
        <v>215</v>
      </c>
      <c r="B44" s="5">
        <f>-IF(Assumptions!$C$47&gt;0,tpc,cost_base)</f>
        <v>-3981658.163265306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-46161.996173469386</v>
      </c>
    </row>
    <row r="46" spans="1:2" x14ac:dyDescent="0.25">
      <c r="A46" t="s">
        <v>17</v>
      </c>
      <c r="B46" s="5">
        <f>-vat_float</f>
        <v>-90856.5</v>
      </c>
    </row>
    <row r="47" spans="1:2" x14ac:dyDescent="0.25">
      <c r="A47" t="s">
        <v>216</v>
      </c>
      <c r="B47" s="5">
        <f>Assumptions!$C$47*tpc</f>
        <v>1990829.081632653</v>
      </c>
    </row>
    <row r="48" spans="1:2" x14ac:dyDescent="0.25">
      <c r="A48" t="s">
        <v>217</v>
      </c>
      <c r="B48" s="5">
        <f>(-(B44+B47+B45)-B46)*(1-gp_pct)</f>
        <v>1702278.062244898</v>
      </c>
    </row>
    <row r="49" spans="1:2" x14ac:dyDescent="0.25">
      <c r="A49" t="s">
        <v>218</v>
      </c>
      <c r="B49" s="5">
        <f>(-(B44+B47+B45)-B46)*gp_pct</f>
        <v>425569.5155612245</v>
      </c>
    </row>
    <row r="50" spans="1:2" x14ac:dyDescent="0.25">
      <c r="A50" s="3" t="s">
        <v>219</v>
      </c>
      <c r="B50" s="5">
        <f>SUM(B44:B49)</f>
        <v>0</v>
      </c>
    </row>
    <row r="52" spans="1:6" x14ac:dyDescent="0.25">
      <c r="A52" t="s">
        <v>184</v>
      </c>
      <c r="C52" s="5">
        <f>'P&amp;L'!C32</f>
        <v>281904.61650592537</v>
      </c>
      <c r="D52" s="5">
        <f>'P&amp;L'!D32</f>
        <v>313801.6419164558</v>
      </c>
      <c r="E52" s="5">
        <f>'P&amp;L'!E32</f>
        <v>334098.8358682137</v>
      </c>
      <c r="F52" s="5">
        <f>'P&amp;L'!F32</f>
        <v>339975.33728676196</v>
      </c>
    </row>
    <row r="53" spans="1:6" x14ac:dyDescent="0.25">
      <c r="A53" t="s">
        <v>189</v>
      </c>
      <c r="C53" s="5">
        <f>IF(B47=0,0,CUMIPMT(Assumptions!$C$48/12,Assumptions!$C$49*12,B47,1,12,0))</f>
        <v>-53384.041132831364</v>
      </c>
      <c r="D53" s="5">
        <f>IF(B47=0,0,CUMIPMT(Assumptions!$C$48/12,Assumptions!$C$49*12,B47,13,24,0))</f>
        <v>-50355.75759294734</v>
      </c>
      <c r="E53" s="5">
        <f>IF(B47=0,0,CUMIPMT(Assumptions!$C$48/12,Assumptions!$C$49*12,B47,25,36,0))</f>
        <v>-47243.13854884496</v>
      </c>
      <c r="F53" s="5">
        <f>IF(B47=0,0,CUMIPMT(Assumptions!$C$48/12,Assumptions!$C$49*12,B47,37,48,0))</f>
        <v>-44043.8353177876</v>
      </c>
    </row>
    <row r="54" spans="1:6" x14ac:dyDescent="0.25">
      <c r="A54" t="s">
        <v>190</v>
      </c>
      <c r="C54" s="5">
        <f>IF(B47=0,0,CUMPRINC(Assumptions!$C$48/12,Assumptions!$C$49*12,B47,1,12,0))</f>
        <v>-108738.32181271764</v>
      </c>
      <c r="D54" s="5">
        <f>IF(B47=0,0,CUMPRINC(Assumptions!$C$48/12,Assumptions!$C$49*12,B47,13,24,0))</f>
        <v>-111766.60535260168</v>
      </c>
      <c r="E54" s="5">
        <f>IF(B47=0,0,CUMPRINC(Assumptions!$C$48/12,Assumptions!$C$49*12,B47,25,36,0))</f>
        <v>-114879.22439670407</v>
      </c>
      <c r="F54" s="5">
        <f>IF(B47=0,0,CUMPRINC(Assumptions!$C$48/12,Assumptions!$C$49*12,B47,37,48,0))</f>
        <v>-118078.52762776142</v>
      </c>
    </row>
    <row r="55" spans="1:6" x14ac:dyDescent="0.25">
      <c r="A55" t="s">
        <v>220</v>
      </c>
      <c r="C55" s="5">
        <f>C52+C53+C54</f>
        <v>119782.25356037637</v>
      </c>
      <c r="D55" s="5">
        <f>D52+D53+D54</f>
        <v>151679.2789709068</v>
      </c>
      <c r="E55" s="5">
        <f>E52+E53+E54</f>
        <v>171976.47292266466</v>
      </c>
      <c r="F55" s="5">
        <f>F52+F53+F54</f>
        <v>177852.97434121295</v>
      </c>
    </row>
    <row r="56" spans="1:6" x14ac:dyDescent="0.25">
      <c r="A56" t="s">
        <v>221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</row>
    <row r="57" spans="1:6" x14ac:dyDescent="0.25">
      <c r="A57" t="s">
        <v>222</v>
      </c>
      <c r="C57" s="5">
        <f>IF(1=MIN(MAX(1,ROUNDUP(vat_months/12,0)),4),-B46,0)</f>
        <v>90856.5</v>
      </c>
      <c r="D57" s="5">
        <f>IF(2=MIN(MAX(1,ROUNDUP(vat_months/12,0)),4),-B46,0)</f>
        <v>0</v>
      </c>
      <c r="E57" s="5">
        <f>IF(3=MIN(MAX(1,ROUNDUP(vat_months/12,0)),4),-B46,0)</f>
        <v>0</v>
      </c>
      <c r="F57" s="5">
        <f>IF(4=MIN(MAX(1,ROUNDUP(vat_months/12,0)),4),-B46,0)</f>
        <v>0</v>
      </c>
    </row>
    <row r="58" spans="1:6" x14ac:dyDescent="0.25">
      <c r="A58" t="s">
        <v>223</v>
      </c>
      <c r="C58" s="5">
        <f>C55+C56+C57</f>
        <v>210638.75356037635</v>
      </c>
      <c r="D58" s="5">
        <f>C58+D55+D56+D57</f>
        <v>362318.03253128316</v>
      </c>
      <c r="E58" s="5">
        <f>D58+E55+E56+E57</f>
        <v>534294.5054539478</v>
      </c>
      <c r="F58" s="5">
        <f>E58+F55+F56+F57</f>
        <v>712147.4797951607</v>
      </c>
    </row>
    <row r="59" spans="1:6" x14ac:dyDescent="0.25">
      <c r="A59" t="s">
        <v>224</v>
      </c>
      <c r="C59" s="7">
        <f>IF((C53+C54)=0,0,-C52/(C53+C54))</f>
        <v>1.738838562330891</v>
      </c>
      <c r="D59" s="7">
        <f>IF((D53+D54)=0,0,-D52/(D53+D54))</f>
        <v>1.9355851729218279</v>
      </c>
      <c r="E59" s="7">
        <f>IF((E53+E54)=0,0,-E52/(E53+E54))</f>
        <v>2.060781929143392</v>
      </c>
      <c r="F59" s="7">
        <f>IF((F53+F54)=0,0,-F52/(F53+F54))</f>
        <v>2.0970292506836166</v>
      </c>
    </row>
    <row r="61" spans="1:6" x14ac:dyDescent="0.25">
      <c r="A61" t="s">
        <v>26</v>
      </c>
      <c r="C61" s="5">
        <f>IF(1=4,'P&amp;L'!F32/cap,0)</f>
        <v>0</v>
      </c>
      <c r="D61" s="5">
        <f>IF(2=4,'P&amp;L'!F32/cap,0)</f>
        <v>0</v>
      </c>
      <c r="E61" s="5">
        <f>IF(3=4,'P&amp;L'!F32/cap,0)</f>
        <v>0</v>
      </c>
      <c r="F61" s="5">
        <f>IF(4=4,'P&amp;L'!F32/cap,0)</f>
        <v>4856790.532668028</v>
      </c>
    </row>
    <row r="62" spans="1:6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-97135.81065336056</v>
      </c>
    </row>
    <row r="63" spans="1:6" x14ac:dyDescent="0.25">
      <c r="A63" t="s">
        <v>28</v>
      </c>
      <c r="C63" s="5">
        <f>IF(1&lt;4,0,IF(B47=0,0,-(B47+CUMPRINC(Assumptions!$C$48/12,Assumptions!$C$49*12,B47,1,48,0))))</f>
        <v>0</v>
      </c>
      <c r="D63" s="5">
        <f>IF(2&lt;4,0,IF(B47=0,0,-(B47+CUMPRINC(Assumptions!$C$48/12,Assumptions!$C$49*12,B47,1,48,0))))</f>
        <v>0</v>
      </c>
      <c r="E63" s="5">
        <f>IF(3&lt;4,0,IF(B47=0,0,-(B47+CUMPRINC(Assumptions!$C$48/12,Assumptions!$C$49*12,B47,1,48,0))))</f>
        <v>0</v>
      </c>
      <c r="F63" s="5">
        <f>IF(4&lt;4,0,IF(B47=0,0,-(B47+CUMPRINC(Assumptions!$C$48/12,Assumptions!$C$49*12,B47,1,48,0))))</f>
        <v>-1537366.4024428683</v>
      </c>
    </row>
    <row r="64" spans="1:6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3222288.319571799</v>
      </c>
    </row>
    <row r="66" spans="1:6" x14ac:dyDescent="0.25">
      <c r="A66" t="s">
        <v>199</v>
      </c>
      <c r="C66" s="5">
        <f>95825.80284830109</f>
        <v>95825.80284830109</v>
      </c>
      <c r="D66" s="5">
        <f>121343.42317672544</f>
        <v>121343.42317672544</v>
      </c>
      <c r="E66" s="5">
        <f>137581.17833813172</f>
        <v>137581.17833813172</v>
      </c>
      <c r="F66" s="5">
        <f>142282.37947297035</f>
        <v>142282.37947297035</v>
      </c>
    </row>
    <row r="67" spans="1:6" x14ac:dyDescent="0.25">
      <c r="A67" t="s">
        <v>200</v>
      </c>
      <c r="C67" s="5">
        <f>23956.450712075282</f>
        <v>23956.450712075282</v>
      </c>
      <c r="D67" s="5">
        <f>30335.855794181363</f>
        <v>30335.855794181363</v>
      </c>
      <c r="E67" s="5">
        <f>34395.29458453294</f>
        <v>34395.29458453294</v>
      </c>
      <c r="F67" s="5">
        <f>35570.594868242595</f>
        <v>35570.594868242595</v>
      </c>
    </row>
    <row r="68" spans="1:6" x14ac:dyDescent="0.25">
      <c r="A68" t="s">
        <v>225</v>
      </c>
      <c r="C68" s="5">
        <f>IF(1=4,2394647.984269356,0)</f>
        <v>0</v>
      </c>
      <c r="D68" s="5">
        <f>IF(2=4,2394647.984269356,0)</f>
        <v>0</v>
      </c>
      <c r="E68" s="5">
        <f>IF(3=4,2394647.984269356,0)</f>
        <v>0</v>
      </c>
      <c r="F68" s="5">
        <f>IF(4=4,2394647.984269356,0)</f>
        <v>2394647.984269356</v>
      </c>
    </row>
    <row r="69" spans="1:6" x14ac:dyDescent="0.25">
      <c r="A69" t="s">
        <v>226</v>
      </c>
      <c r="C69" s="5">
        <f>IF(1=4,827640.3353024432,0)</f>
        <v>0</v>
      </c>
      <c r="D69" s="5">
        <f>IF(2=4,827640.3353024432,0)</f>
        <v>0</v>
      </c>
      <c r="E69" s="5">
        <f>IF(3=4,827640.3353024432,0)</f>
        <v>0</v>
      </c>
      <c r="F69" s="5">
        <f>IF(4=4,827640.3353024432,0)</f>
        <v>827640.3353024432</v>
      </c>
    </row>
    <row r="70" spans="1:6" x14ac:dyDescent="0.25">
      <c r="A70" t="s">
        <v>227</v>
      </c>
      <c r="C70" s="5">
        <f>(C56+C57)*(1-gp_pct)</f>
        <v>72685.2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</row>
    <row r="71" spans="1:6" x14ac:dyDescent="0.25">
      <c r="A71" t="s">
        <v>228</v>
      </c>
      <c r="C71" s="5">
        <f>(C56+C57)*gp_pct</f>
        <v>18171.299999999996</v>
      </c>
      <c r="D71" s="5">
        <f>(D56+D57)*gp_pct</f>
        <v>0</v>
      </c>
      <c r="E71" s="5">
        <f>(E56+E57)*gp_pct</f>
        <v>0</v>
      </c>
      <c r="F71" s="5">
        <f>(F56+F57)*gp_pct</f>
        <v>0</v>
      </c>
    </row>
    <row r="72" spans="1:6" x14ac:dyDescent="0.25">
      <c r="A72" s="3" t="s">
        <v>229</v>
      </c>
      <c r="C72" s="5">
        <f>SUM(C66:C71)</f>
        <v>210638.75356037635</v>
      </c>
      <c r="D72" s="5">
        <f>SUM(D66:D71)</f>
        <v>151679.2789709068</v>
      </c>
      <c r="E72" s="5">
        <f>SUM(E66:E71)</f>
        <v>171976.47292266466</v>
      </c>
      <c r="F72" s="5">
        <f>SUM(F66:F71)</f>
        <v>3400141.293913012</v>
      </c>
    </row>
    <row r="74" spans="1:6" x14ac:dyDescent="0.25">
      <c r="A74" t="s">
        <v>230</v>
      </c>
      <c r="C74" s="5">
        <f>C55+C56+C57+C64</f>
        <v>210638.75356037635</v>
      </c>
      <c r="D74" s="5">
        <f>D55+D56+D57+D64</f>
        <v>151679.2789709068</v>
      </c>
      <c r="E74" s="5">
        <f>E55+E56+E57+E64</f>
        <v>171976.47292266466</v>
      </c>
      <c r="F74" s="5">
        <f>F55+F56+F57+F64</f>
        <v>3400141.293913012</v>
      </c>
    </row>
    <row r="75" spans="1:6" x14ac:dyDescent="0.25">
      <c r="A75" t="s">
        <v>231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</row>
    <row r="77" spans="1:6" x14ac:dyDescent="0.25">
      <c r="A77" t="s">
        <v>232</v>
      </c>
      <c r="B77" s="5">
        <f>-B48</f>
        <v>-1702278.062244898</v>
      </c>
      <c r="C77" s="5">
        <f>C66+C68+C70</f>
        <v>168511.00284830108</v>
      </c>
      <c r="D77" s="5">
        <f>D66+D68+D70</f>
        <v>121343.42317672544</v>
      </c>
      <c r="E77" s="5">
        <f>E66+E68+E70</f>
        <v>137581.17833813172</v>
      </c>
      <c r="F77" s="5">
        <f>F66+F68+F70</f>
        <v>2536930.3637423264</v>
      </c>
    </row>
    <row r="78" spans="1:6" x14ac:dyDescent="0.25">
      <c r="A78" t="s">
        <v>233</v>
      </c>
      <c r="B78" s="5">
        <f>B77</f>
        <v>-1702278.062244898</v>
      </c>
      <c r="C78" s="5">
        <f>B78+C77</f>
        <v>-1533767.0593965969</v>
      </c>
      <c r="D78" s="5">
        <f>C78+D77</f>
        <v>-1412423.6362198715</v>
      </c>
      <c r="E78" s="5">
        <f>D78+E77</f>
        <v>-1274842.4578817398</v>
      </c>
      <c r="F78" s="5">
        <f>E78+F77</f>
        <v>1262087.9058605866</v>
      </c>
    </row>
    <row r="81" spans="1:1" x14ac:dyDescent="0.25">
      <c r="A81" s="3" t="s">
        <v>235</v>
      </c>
    </row>
    <row r="82" spans="2:6" x14ac:dyDescent="0.25">
      <c r="B82" s="3" t="s">
        <v>214</v>
      </c>
      <c r="C82" s="3" t="s">
        <v>152</v>
      </c>
      <c r="D82" s="3" t="s">
        <v>153</v>
      </c>
      <c r="E82" s="3" t="s">
        <v>154</v>
      </c>
      <c r="F82" s="3" t="s">
        <v>155</v>
      </c>
    </row>
    <row r="83" spans="1:2" x14ac:dyDescent="0.25">
      <c r="A83" t="s">
        <v>215</v>
      </c>
      <c r="B83" s="5">
        <f>-IF(Assumptions!$D$47&gt;0,tpc,cost_base)</f>
        <v>-3981658.163265306</v>
      </c>
    </row>
    <row r="84" spans="1:2" x14ac:dyDescent="0.25">
      <c r="A84" t="s">
        <v>15</v>
      </c>
      <c r="B84" s="5">
        <f>-IF(B86=0,0,(Assumptions!$D$51+Assumptions!$D$52+Assumptions!$D$54+Assumptions!$D$55)*B86+Assumptions!$D$53*units_c+Assumptions!$D$56)</f>
        <v>-54324.39540816326</v>
      </c>
    </row>
    <row r="85" spans="1:2" x14ac:dyDescent="0.25">
      <c r="A85" t="s">
        <v>17</v>
      </c>
      <c r="B85" s="5">
        <f>-vat_float</f>
        <v>-90856.5</v>
      </c>
    </row>
    <row r="86" spans="1:2" x14ac:dyDescent="0.25">
      <c r="A86" t="s">
        <v>216</v>
      </c>
      <c r="B86" s="5">
        <f>Assumptions!$D$47*tpc</f>
        <v>2388994.8979591834</v>
      </c>
    </row>
    <row r="87" spans="1:2" x14ac:dyDescent="0.25">
      <c r="A87" t="s">
        <v>217</v>
      </c>
      <c r="B87" s="5">
        <f>(-(B83+B86+B84)-B85)*(1-gp_pct)</f>
        <v>1390275.3285714288</v>
      </c>
    </row>
    <row r="88" spans="1:2" x14ac:dyDescent="0.25">
      <c r="A88" t="s">
        <v>218</v>
      </c>
      <c r="B88" s="5">
        <f>(-(B83+B86+B84)-B85)*gp_pct</f>
        <v>347568.8321428572</v>
      </c>
    </row>
    <row r="89" spans="1:2" x14ac:dyDescent="0.25">
      <c r="A89" s="3" t="s">
        <v>219</v>
      </c>
      <c r="B89" s="5">
        <f>SUM(B83:B88)</f>
        <v>0</v>
      </c>
    </row>
    <row r="91" spans="1:6" x14ac:dyDescent="0.25">
      <c r="A91" t="s">
        <v>184</v>
      </c>
      <c r="C91" s="5">
        <f>'P&amp;L'!C32</f>
        <v>281904.61650592537</v>
      </c>
      <c r="D91" s="5">
        <f>'P&amp;L'!D32</f>
        <v>313801.6419164558</v>
      </c>
      <c r="E91" s="5">
        <f>'P&amp;L'!E32</f>
        <v>334098.8358682137</v>
      </c>
      <c r="F91" s="5">
        <f>'P&amp;L'!F32</f>
        <v>339975.33728676196</v>
      </c>
    </row>
    <row r="92" spans="1:6" x14ac:dyDescent="0.25">
      <c r="A92" t="s">
        <v>189</v>
      </c>
      <c r="C92" s="5">
        <f>IF(B86=0,0,CUMIPMT(Assumptions!$D$48/12,Assumptions!$D$49*12,B86,1,12,0))</f>
        <v>-64060.84935939764</v>
      </c>
      <c r="D92" s="5">
        <f>IF(B86=0,0,CUMIPMT(Assumptions!$D$48/12,Assumptions!$D$49*12,B86,13,24,0))</f>
        <v>-60426.90911153681</v>
      </c>
      <c r="E92" s="5">
        <f>IF(B86=0,0,CUMIPMT(Assumptions!$D$48/12,Assumptions!$D$49*12,B86,25,36,0))</f>
        <v>-56691.76625861396</v>
      </c>
      <c r="F92" s="5">
        <f>IF(B86=0,0,CUMIPMT(Assumptions!$D$48/12,Assumptions!$D$49*12,B86,37,48,0))</f>
        <v>-52852.60238134513</v>
      </c>
    </row>
    <row r="93" spans="1:6" x14ac:dyDescent="0.25">
      <c r="A93" t="s">
        <v>190</v>
      </c>
      <c r="C93" s="5">
        <f>IF(B86=0,0,CUMPRINC(Assumptions!$D$48/12,Assumptions!$D$49*12,B86,1,12,0))</f>
        <v>-130485.98617526119</v>
      </c>
      <c r="D93" s="5">
        <f>IF(B86=0,0,CUMPRINC(Assumptions!$D$48/12,Assumptions!$D$49*12,B86,13,24,0))</f>
        <v>-134119.926423122</v>
      </c>
      <c r="E93" s="5">
        <f>IF(B86=0,0,CUMPRINC(Assumptions!$D$48/12,Assumptions!$D$49*12,B86,25,36,0))</f>
        <v>-137855.06927604484</v>
      </c>
      <c r="F93" s="5">
        <f>IF(B86=0,0,CUMPRINC(Assumptions!$D$48/12,Assumptions!$D$49*12,B86,37,48,0))</f>
        <v>-141694.2331533137</v>
      </c>
    </row>
    <row r="94" spans="1:6" x14ac:dyDescent="0.25">
      <c r="A94" t="s">
        <v>220</v>
      </c>
      <c r="C94" s="5">
        <f>C91+C92+C93</f>
        <v>87357.78097126655</v>
      </c>
      <c r="D94" s="5">
        <f>D91+D92+D93</f>
        <v>119254.80638179701</v>
      </c>
      <c r="E94" s="5">
        <f>E91+E92+E93</f>
        <v>139552.00033355487</v>
      </c>
      <c r="F94" s="5">
        <f>F91+F92+F93</f>
        <v>145428.50175210316</v>
      </c>
    </row>
    <row r="95" spans="1:6" x14ac:dyDescent="0.25">
      <c r="A95" t="s">
        <v>221</v>
      </c>
      <c r="C95" s="5">
        <f>0</f>
        <v>0</v>
      </c>
      <c r="D95" s="5">
        <f>0</f>
        <v>0</v>
      </c>
      <c r="E95" s="5">
        <f>0</f>
        <v>0</v>
      </c>
      <c r="F95" s="5">
        <f>0</f>
        <v>0</v>
      </c>
    </row>
    <row r="96" spans="1:6" x14ac:dyDescent="0.25">
      <c r="A96" t="s">
        <v>222</v>
      </c>
      <c r="C96" s="5">
        <f>IF(1=MIN(MAX(1,ROUNDUP(vat_months/12,0)),4),-B85,0)</f>
        <v>90856.5</v>
      </c>
      <c r="D96" s="5">
        <f>IF(2=MIN(MAX(1,ROUNDUP(vat_months/12,0)),4),-B85,0)</f>
        <v>0</v>
      </c>
      <c r="E96" s="5">
        <f>IF(3=MIN(MAX(1,ROUNDUP(vat_months/12,0)),4),-B85,0)</f>
        <v>0</v>
      </c>
      <c r="F96" s="5">
        <f>IF(4=MIN(MAX(1,ROUNDUP(vat_months/12,0)),4),-B85,0)</f>
        <v>0</v>
      </c>
    </row>
    <row r="97" spans="1:6" x14ac:dyDescent="0.25">
      <c r="A97" t="s">
        <v>223</v>
      </c>
      <c r="C97" s="5">
        <f>C94+C95+C96</f>
        <v>178214.28097126656</v>
      </c>
      <c r="D97" s="5">
        <f>C97+D94+D95+D96</f>
        <v>297469.0873530636</v>
      </c>
      <c r="E97" s="5">
        <f>D97+E94+E95+E96</f>
        <v>437021.08768661844</v>
      </c>
      <c r="F97" s="5">
        <f>E97+F94+F95+F96</f>
        <v>582449.5894387215</v>
      </c>
    </row>
    <row r="98" spans="1:6" x14ac:dyDescent="0.25">
      <c r="A98" t="s">
        <v>224</v>
      </c>
      <c r="C98" s="7">
        <f>IF((C92+C93)=0,0,-C91/(C92+C93))</f>
        <v>1.4490321352757425</v>
      </c>
      <c r="D98" s="7">
        <f>IF((D92+D93)=0,0,-D91/(D92+D93))</f>
        <v>1.6129876441015232</v>
      </c>
      <c r="E98" s="7">
        <f>IF((E92+E93)=0,0,-E91/(E92+E93))</f>
        <v>1.7173182742861601</v>
      </c>
      <c r="F98" s="7">
        <f>IF((F92+F93)=0,0,-F91/(F92+F93))</f>
        <v>1.7475243755696805</v>
      </c>
    </row>
    <row r="100" spans="1:6" x14ac:dyDescent="0.25">
      <c r="A100" t="s">
        <v>26</v>
      </c>
      <c r="C100" s="5">
        <f>IF(1=4,'P&amp;L'!F32/cap,0)</f>
        <v>0</v>
      </c>
      <c r="D100" s="5">
        <f>IF(2=4,'P&amp;L'!F32/cap,0)</f>
        <v>0</v>
      </c>
      <c r="E100" s="5">
        <f>IF(3=4,'P&amp;L'!F32/cap,0)</f>
        <v>0</v>
      </c>
      <c r="F100" s="5">
        <f>IF(4=4,'P&amp;L'!F32/cap,0)</f>
        <v>4856790.532668028</v>
      </c>
    </row>
    <row r="101" spans="1:6" x14ac:dyDescent="0.25">
      <c r="A101" t="s">
        <v>27</v>
      </c>
      <c r="C101" s="5">
        <f>-C100*sell_pct</f>
        <v>0</v>
      </c>
      <c r="D101" s="5">
        <f>-D100*sell_pct</f>
        <v>0</v>
      </c>
      <c r="E101" s="5">
        <f>-E100*sell_pct</f>
        <v>0</v>
      </c>
      <c r="F101" s="5">
        <f>-F100*sell_pct</f>
        <v>-97135.81065336056</v>
      </c>
    </row>
    <row r="102" spans="1:6" x14ac:dyDescent="0.25">
      <c r="A102" t="s">
        <v>28</v>
      </c>
      <c r="C102" s="5">
        <f>IF(1&lt;4,0,IF(B86=0,0,-(B86+CUMPRINC(Assumptions!$D$48/12,Assumptions!$D$49*12,B86,1,48,0))))</f>
        <v>0</v>
      </c>
      <c r="D102" s="5">
        <f>IF(2&lt;4,0,IF(B86=0,0,-(B86+CUMPRINC(Assumptions!$D$48/12,Assumptions!$D$49*12,B86,1,48,0))))</f>
        <v>0</v>
      </c>
      <c r="E102" s="5">
        <f>IF(3&lt;4,0,IF(B86=0,0,-(B86+CUMPRINC(Assumptions!$D$48/12,Assumptions!$D$49*12,B86,1,48,0))))</f>
        <v>0</v>
      </c>
      <c r="F102" s="5">
        <f>IF(4&lt;4,0,IF(B86=0,0,-(B86+CUMPRINC(Assumptions!$D$48/12,Assumptions!$D$49*12,B86,1,48,0))))</f>
        <v>-1844839.6829314425</v>
      </c>
    </row>
    <row r="103" spans="1:6" x14ac:dyDescent="0.25">
      <c r="A103" t="s">
        <v>29</v>
      </c>
      <c r="C103" s="5">
        <f>C100+C101+C102</f>
        <v>0</v>
      </c>
      <c r="D103" s="5">
        <f>D100+D101+D102</f>
        <v>0</v>
      </c>
      <c r="E103" s="5">
        <f>E100+E101+E102</f>
        <v>0</v>
      </c>
      <c r="F103" s="5">
        <f>F100+F101+F102</f>
        <v>2914815.0390832247</v>
      </c>
    </row>
    <row r="105" spans="1:6" x14ac:dyDescent="0.25">
      <c r="A105" t="s">
        <v>199</v>
      </c>
      <c r="C105" s="5">
        <f>69886.22477701324</f>
        <v>69886.22477701324</v>
      </c>
      <c r="D105" s="5">
        <f>95403.84510543762</f>
        <v>95403.84510543762</v>
      </c>
      <c r="E105" s="5">
        <f>111641.6002668439</f>
        <v>111641.6002668439</v>
      </c>
      <c r="F105" s="5">
        <f>116342.80140168253</f>
        <v>116342.80140168253</v>
      </c>
    </row>
    <row r="106" spans="1:6" x14ac:dyDescent="0.25">
      <c r="A106" t="s">
        <v>200</v>
      </c>
      <c r="C106" s="5">
        <f>17471.55619425331</f>
        <v>17471.55619425331</v>
      </c>
      <c r="D106" s="5">
        <f>23850.96127635939</f>
        <v>23850.96127635939</v>
      </c>
      <c r="E106" s="5">
        <f>27910.400066710965</f>
        <v>27910.400066710965</v>
      </c>
      <c r="F106" s="5">
        <f>29085.700350420622</f>
        <v>29085.700350420622</v>
      </c>
    </row>
    <row r="107" spans="1:6" x14ac:dyDescent="0.25">
      <c r="A107" t="s">
        <v>225</v>
      </c>
      <c r="C107" s="5">
        <f>IF(1=4,2124783.899833813,0)</f>
        <v>0</v>
      </c>
      <c r="D107" s="5">
        <f>IF(2=4,2124783.899833813,0)</f>
        <v>0</v>
      </c>
      <c r="E107" s="5">
        <f>IF(3=4,2124783.899833813,0)</f>
        <v>0</v>
      </c>
      <c r="F107" s="5">
        <f>IF(4=4,2124783.899833813,0)</f>
        <v>2124783.899833813</v>
      </c>
    </row>
    <row r="108" spans="1:6" x14ac:dyDescent="0.25">
      <c r="A108" t="s">
        <v>226</v>
      </c>
      <c r="C108" s="5">
        <f>IF(1=4,790031.1392494119,0)</f>
        <v>0</v>
      </c>
      <c r="D108" s="5">
        <f>IF(2=4,790031.1392494119,0)</f>
        <v>0</v>
      </c>
      <c r="E108" s="5">
        <f>IF(3=4,790031.1392494119,0)</f>
        <v>0</v>
      </c>
      <c r="F108" s="5">
        <f>IF(4=4,790031.1392494119,0)</f>
        <v>790031.1392494119</v>
      </c>
    </row>
    <row r="109" spans="1:6" x14ac:dyDescent="0.25">
      <c r="A109" t="s">
        <v>227</v>
      </c>
      <c r="C109" s="5">
        <f>(C95+C96)*(1-gp_pct)</f>
        <v>72685.2</v>
      </c>
      <c r="D109" s="5">
        <f>(D95+D96)*(1-gp_pct)</f>
        <v>0</v>
      </c>
      <c r="E109" s="5">
        <f>(E95+E96)*(1-gp_pct)</f>
        <v>0</v>
      </c>
      <c r="F109" s="5">
        <f>(F95+F96)*(1-gp_pct)</f>
        <v>0</v>
      </c>
    </row>
    <row r="110" spans="1:6" x14ac:dyDescent="0.25">
      <c r="A110" t="s">
        <v>228</v>
      </c>
      <c r="C110" s="5">
        <f>(C95+C96)*gp_pct</f>
        <v>18171.299999999996</v>
      </c>
      <c r="D110" s="5">
        <f>(D95+D96)*gp_pct</f>
        <v>0</v>
      </c>
      <c r="E110" s="5">
        <f>(E95+E96)*gp_pct</f>
        <v>0</v>
      </c>
      <c r="F110" s="5">
        <f>(F95+F96)*gp_pct</f>
        <v>0</v>
      </c>
    </row>
    <row r="111" spans="1:6" x14ac:dyDescent="0.25">
      <c r="A111" s="3" t="s">
        <v>229</v>
      </c>
      <c r="C111" s="5">
        <f>SUM(C105:C110)</f>
        <v>178214.28097126656</v>
      </c>
      <c r="D111" s="5">
        <f>SUM(D105:D110)</f>
        <v>119254.80638179701</v>
      </c>
      <c r="E111" s="5">
        <f>SUM(E105:E110)</f>
        <v>139552.00033355487</v>
      </c>
      <c r="F111" s="5">
        <f>SUM(F105:F110)</f>
        <v>3060243.540835328</v>
      </c>
    </row>
    <row r="113" spans="1:6" x14ac:dyDescent="0.25">
      <c r="A113" t="s">
        <v>230</v>
      </c>
      <c r="C113" s="5">
        <f>C94+C95+C96+C103</f>
        <v>178214.28097126656</v>
      </c>
      <c r="D113" s="5">
        <f>D94+D95+D96+D103</f>
        <v>119254.80638179701</v>
      </c>
      <c r="E113" s="5">
        <f>E94+E95+E96+E103</f>
        <v>139552.00033355487</v>
      </c>
      <c r="F113" s="5">
        <f>F94+F95+F96+F103</f>
        <v>3060243.540835328</v>
      </c>
    </row>
    <row r="114" spans="1:6" x14ac:dyDescent="0.25">
      <c r="A114" t="s">
        <v>231</v>
      </c>
      <c r="C114" s="5">
        <f>C113-C111</f>
        <v>0</v>
      </c>
      <c r="D114" s="5">
        <f>D113-D111</f>
        <v>0</v>
      </c>
      <c r="E114" s="5">
        <f>E113-E111</f>
        <v>0</v>
      </c>
      <c r="F114" s="5">
        <f>F113-F111</f>
        <v>0</v>
      </c>
    </row>
    <row r="116" spans="1:6" x14ac:dyDescent="0.25">
      <c r="A116" t="s">
        <v>232</v>
      </c>
      <c r="B116" s="5">
        <f>-B87</f>
        <v>-1390275.3285714288</v>
      </c>
      <c r="C116" s="5">
        <f>C105+C107+C109</f>
        <v>142571.42477701325</v>
      </c>
      <c r="D116" s="5">
        <f>D105+D107+D109</f>
        <v>95403.84510543762</v>
      </c>
      <c r="E116" s="5">
        <f>E105+E107+E109</f>
        <v>111641.6002668439</v>
      </c>
      <c r="F116" s="5">
        <f>F105+F107+F109</f>
        <v>2241126.7012354955</v>
      </c>
    </row>
    <row r="117" spans="1:6" x14ac:dyDescent="0.25">
      <c r="A117" t="s">
        <v>233</v>
      </c>
      <c r="B117" s="5">
        <f>B116</f>
        <v>-1390275.3285714288</v>
      </c>
      <c r="C117" s="5">
        <f>B117+C116</f>
        <v>-1247703.9037944155</v>
      </c>
      <c r="D117" s="5">
        <f>C117+D116</f>
        <v>-1152300.058688978</v>
      </c>
      <c r="E117" s="5">
        <f>D117+E116</f>
        <v>-1040658.458422134</v>
      </c>
      <c r="F117" s="5">
        <f>E117+F116</f>
        <v>1200468.2428133613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236</v>
      </c>
    </row>
    <row r="3" spans="1:7" x14ac:dyDescent="0.25">
      <c r="A3" s="3" t="s">
        <v>237</v>
      </c>
      <c r="B3" s="3" t="s">
        <v>13</v>
      </c>
      <c r="C3" s="3" t="s">
        <v>19</v>
      </c>
      <c r="D3" s="3" t="s">
        <v>31</v>
      </c>
      <c r="E3" s="3" t="s">
        <v>210</v>
      </c>
      <c r="F3" s="3" t="s">
        <v>224</v>
      </c>
      <c r="G3" s="3" t="s">
        <v>238</v>
      </c>
    </row>
    <row r="4" spans="1:7" x14ac:dyDescent="0.25">
      <c r="A4" t="s">
        <v>81</v>
      </c>
      <c r="B4" s="5">
        <v>0</v>
      </c>
      <c r="C4" s="5">
        <v>3153152</v>
      </c>
      <c r="D4" s="6">
        <v>0.11795760187853696</v>
      </c>
      <c r="E4" s="7">
        <v>1.5037708184150806</v>
      </c>
      <c r="F4" s="7"/>
      <c r="G4" t="s">
        <v>239</v>
      </c>
    </row>
    <row r="5" spans="1:7" x14ac:dyDescent="0.25">
      <c r="A5" t="s">
        <v>12</v>
      </c>
      <c r="B5" s="5">
        <v>1990829</v>
      </c>
      <c r="C5" s="5">
        <v>1629593</v>
      </c>
      <c r="D5" s="6">
        <v>0.1662208021010443</v>
      </c>
      <c r="E5" s="7">
        <v>1.7744805068193272</v>
      </c>
      <c r="F5" s="7">
        <v>2.060781929143392</v>
      </c>
      <c r="G5" t="s">
        <v>240</v>
      </c>
    </row>
    <row r="6" spans="1:7" x14ac:dyDescent="0.25">
      <c r="A6" t="s">
        <v>83</v>
      </c>
      <c r="B6" s="5">
        <v>2388995</v>
      </c>
      <c r="C6" s="5">
        <v>1317590</v>
      </c>
      <c r="D6" s="6">
        <v>0.18813214241606746</v>
      </c>
      <c r="E6" s="7">
        <v>1.9111090139351192</v>
      </c>
      <c r="F6" s="7">
        <v>1.7173182742861601</v>
      </c>
      <c r="G6" t="s">
        <v>239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2026-09-21T00:17:24Z</dcterms:created>
  <dcterms:modified xsi:type="dcterms:W3CDTF">2026-09-21T00:17:24Z</dcterms:modified>
</cp:coreProperties>
</file>