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Mix'!$B$17</definedName>
    <definedName name="blended_incl">'Unit Mix'!$B$18</definedName>
    <definedName name="clean_base">'Unit Mix'!$B$19</definedName>
    <definedName name="anc_units">'Unit Mix'!$B$20</definedName>
    <definedName name="mtr_n">'Unit Mix'!$B$21</definedName>
    <definedName name="cost_unit_n">'Unit Mix'!$B$22</definedName>
    <definedName name="mtr_rent_a">'Unit Mix'!$B$23</definedName>
    <definedName name="turn_base">'Unit Mix'!$B$24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<sst xmlns="http://schemas.openxmlformats.org/spreadsheetml/2006/main" count="407" uniqueCount="247">
  <si>
    <t>Benimaclet 7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</si>
  <si>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</si>
  <si>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</si>
  <si>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</si>
  <si>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</si>
  <si>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</si>
  <si>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</si>
  <si>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</si>
  <si>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</si>
  <si>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</si>
  <si>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</si>
  <si>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</si>
  <si>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50%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</si>
  <si>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</si>
  <si>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</si>
  <si>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</si>
  <si>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</si>
  <si>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</si>
  <si>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</si>
  <si>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</si>
  <si>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</si>
  <si>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</si>
  <si>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</si>
  <si>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</si>
  <si>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</si>
  <si>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</si>
  <si>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</si>
  <si>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</si>
  <si>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</si>
  <si>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</si>
  <si>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</si>
  <si>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</si>
  <si>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</si>
  <si>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</si>
  <si>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</si>
  <si>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</si>
  <si>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</si>
  <si>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</si>
  <si>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</si>
  <si>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</si>
  <si>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</si>
  <si>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</si>
  <si>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</si>
  <si>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</si>
  <si>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</si>
  <si>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</si>
  <si>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</si>
  <si>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</si>
  <si>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</si>
  <si>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</si>
  <si>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</si>
  <si>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</si>
  <si>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</si>
  <si>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</si>
  <si>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</si>
  <si>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</si>
  <si>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</si>
  <si>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</si>
  <si>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</si>
  <si>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</si>
  <si>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</si>
  <si>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</si>
  <si>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</si>
  <si>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</si>
  <si>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</si>
  <si>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</si>
  <si>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</si>
  <si>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</si>
  <si>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</si>
  <si>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</si>
  <si>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</si>
  <si>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</si>
  <si>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</si>
  <si>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</si>
  <si>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</si>
  <si>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</si>
  <si>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</si>
  <si>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</si>
  <si>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</si>
  <si>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</si>
  <si>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</si>
  <si>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</si>
  <si>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50% LTV  ←</t>
  </si>
  <si>
    <t>60%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</si>
  <si>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</si>
  <si>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</si>
  <si>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</si>
  <si>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</si>
  <si>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</si>
  <si>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</si>
  <si>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</si>
  <si>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</si>
  <si>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</si>
  <si>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</si>
  <si>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</si>
  <si>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</si>
  <si>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</si>
  <si>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</si>
  <si>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</si>
  <si>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</si>
  <si>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</si>
  <si>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</si>
  <si>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</si>
  <si>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</si>
  <si>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</si>
  <si>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</si>
  <si>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Room · hostal</t>
  </si>
  <si>
    <t>STR</t>
  </si>
  <si>
    <t>Room · terrace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</si>
  <si>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</si>
  <si>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</si>
  <si>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</si>
  <si>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</si>
  <si>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</si>
  <si>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</si>
  <si>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</si>
  <si>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</si>
  <si>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</si>
  <si>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</si>
  <si>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</si>
  <si>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</si>
  <si>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</si>
  <si>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</si>
  <si>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</si>
  <si>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</si>
  <si>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</si>
  <si>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</si>
  <si>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</si>
  <si>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</si>
  <si>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</si>
  <si>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</si>
  <si>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</si>
  <si>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</si>
  <si>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</si>
  <si>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</si>
  <si>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</si>
  <si>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</si>
  <si>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</si>
  <si>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</si>
  <si>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</si>
  <si>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</si>
  <si>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</si>
  <si>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</si>
  <si>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</si>
  <si>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</si>
  <si>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</si>
  <si>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</si>
  <si>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</si>
  <si>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</si>
  <si>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</si>
  <si>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</si>
  <si>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</si>
  <si>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</si>
  <si>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</si>
  <si>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</si>
  <si>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</si>
  <si>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</si>
  <si>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</si>
  <si>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</si>
  <si>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</si>
  <si>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</si>
  <si>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</si>
  <si>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</si>
  <si>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</si>
  <si>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</si>
  <si>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</si>
  <si>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</si>
  <si>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</si>
  <si>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</si>
  <si>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</si>
  <si>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</si>
  <si>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</si>
  <si>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</si>
  <si>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</si>
  <si>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</si>
  <si>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</si>
  <si>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</si>
  <si>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Full technical survey (one_off)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</si>
  <si>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</si>
  <si>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</si>
  <si>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</si>
  <si>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</si>
  <si>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</si>
  <si>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</si>
  <si>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</si>
  <si>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</si>
  <si>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</si>
  <si>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</si>
  <si>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</si>
  <si>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</si>
  <si>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</si>
  <si>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</si>
  <si>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</si>
  <si>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</si>
  <si>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</si>
  <si>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</si>
  <si>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</si>
  <si>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</si>
  <si>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</si>
  <si>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</si>
  <si>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</si>
  <si>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</si>
  <si>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</si>
  <si>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</si>
  <si>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</si>
  <si>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</si>
  <si>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</si>
  <si>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</si>
  <si>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</si>
  <si>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</si>
  <si>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</si>
  <si>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</si>
  <si>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</si>
  <si>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</si>
  <si>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</si>
  <si>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</si>
  <si>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</si>
  <si>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</si>
  <si>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</si>
  <si>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</si>
  <si>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</si>
  <si>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</si>
  <si>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</si>
  <si>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</si>
  <si>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</si>
  <si>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</si>
  <si>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</si>
  <si>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</si>
  <si>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</si>
  <si>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</si>
  <si>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</si>
  <si>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</si>
  <si>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</si>
  <si>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</si>
  <si>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</si>
  <si>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</si>
  <si>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</si>
  <si>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</si>
  <si>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</si>
  <si>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</si>
  <si>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50% LTV  ← reported  ·  cash live, LP/GP split as modelled</t>
  </si>
  <si>
    <t>60%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</si>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</sst>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14</v>
      </c>
    </row>
    <row r="7" spans="1:2" x14ac:dyDescent="0.25">
      <c r="A7" t="s">
        <v>5</v>
      </c>
      <c r="B7" s="5">
        <f>price</f>
        <v>1400000</v>
      </c>
    </row>
    <row r="8" spans="1:2" x14ac:dyDescent="0.25">
      <c r="A8" t="s">
        <v>6</v>
      </c>
      <c r="B8" s="5">
        <f>tpc</f>
        <v>1798775.5102040817</v>
      </c>
    </row>
    <row r="9" spans="1:2" x14ac:dyDescent="0.25">
      <c r="A9" t="s">
        <v>7</v>
      </c>
      <c r="B9" s="5">
        <f>IF(units_c=0,0,tpc/units_c)</f>
        <v>128483.96501457726</v>
      </c>
    </row>
    <row r="10" spans="1:2" x14ac:dyDescent="0.25">
      <c r="A10" t="s">
        <v>8</v>
      </c>
      <c r="B10" s="5">
        <f>'P&amp;L'!E32</f>
        <v>150271.59259978196</v>
      </c>
    </row>
    <row r="11" spans="1:2" x14ac:dyDescent="0.25">
      <c r="A11" t="s">
        <v>9</v>
      </c>
      <c r="B11" s="6">
        <f>IF(tpc=0,0,B10/tpc)</f>
        <v>0.08354104875640249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899387.7551020408</v>
      </c>
    </row>
    <row r="16" spans="1:2" x14ac:dyDescent="0.25">
      <c r="A16" t="s">
        <v>14</v>
      </c>
      <c r="B16" s="6">
        <f>IF(tpc=0,0,B15/tpc)</f>
        <v>0.5</v>
      </c>
    </row>
    <row r="17" spans="1:2" x14ac:dyDescent="0.25">
      <c r="A17" t="s">
        <v>15</v>
      </c>
      <c r="B17" s="5">
        <f>Waterfall!B4</f>
        <v>22687.448979591838</v>
      </c>
    </row>
    <row r="18" spans="1:2" x14ac:dyDescent="0.25">
      <c r="A18" t="s">
        <v>16</v>
      </c>
      <c r="B18" s="5">
        <f>eq_total</f>
        <v>922075.2040816327</v>
      </c>
    </row>
    <row r="19" spans="1:2" x14ac:dyDescent="0.25">
      <c r="A19" t="s">
        <v>17</v>
      </c>
      <c r="B19" s="5">
        <f>vat_float</f>
        <v>56343</v>
      </c>
    </row>
    <row r="20" spans="1:2" x14ac:dyDescent="0.25">
      <c r="A20" t="s">
        <v>18</v>
      </c>
      <c r="B20" s="5">
        <f>eq_total+vat_float</f>
        <v>978418.2040816327</v>
      </c>
    </row>
    <row r="21" spans="1:2" x14ac:dyDescent="0.25">
      <c r="A21" t="s">
        <v>19</v>
      </c>
      <c r="B21" s="5">
        <f>eq_lp</f>
        <v>737660.1632653062</v>
      </c>
    </row>
    <row r="22" spans="1:2" x14ac:dyDescent="0.25">
      <c r="A22" t="s">
        <v>20</v>
      </c>
      <c r="B22" s="5">
        <f>eq_gp</f>
        <v>184415.04081632654</v>
      </c>
    </row>
    <row r="23" spans="1:2" x14ac:dyDescent="0.25">
      <c r="A23" t="s">
        <v>21</v>
      </c>
      <c r="B23" s="5">
        <f>Waterfall!B8</f>
        <v>73241.27892579207</v>
      </c>
    </row>
    <row r="24" spans="1:2" x14ac:dyDescent="0.25">
      <c r="A24" t="s">
        <v>22</v>
      </c>
      <c r="B24" s="7">
        <f>IF(Waterfall!B8=0,0,B10/Waterfall!B8)</f>
        <v>2.0517335961874297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10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2465926.0667743017</v>
      </c>
    </row>
    <row r="30" spans="1:2" x14ac:dyDescent="0.25">
      <c r="A30" t="s">
        <v>27</v>
      </c>
      <c r="B30" s="5">
        <f>Waterfall!B27</f>
        <v>-49318.52133548603</v>
      </c>
    </row>
    <row r="31" spans="1:2" x14ac:dyDescent="0.25">
      <c r="A31" t="s">
        <v>28</v>
      </c>
      <c r="B31" s="5">
        <f>Waterfall!B28</f>
        <v>341779.8597234391</v>
      </c>
    </row>
    <row r="32" spans="1:2" x14ac:dyDescent="0.25">
      <c r="A32" t="s">
        <v>29</v>
      </c>
      <c r="B32" s="5">
        <f>Waterfall!B29</f>
        <v>2074827.6857153769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0.1366278761050339</v>
      </c>
    </row>
    <row r="36" spans="1:2" x14ac:dyDescent="0.25">
      <c r="A36" t="s">
        <v>32</v>
      </c>
      <c r="B36" s="7">
        <f>Waterfall!B38</f>
        <v>2.9067370669701122</v>
      </c>
    </row>
    <row r="37" spans="1:2" x14ac:dyDescent="0.25">
      <c r="A37" t="s">
        <v>33</v>
      </c>
      <c r="B37" s="5">
        <f>Waterfall!B37</f>
        <v>2144184.13939049</v>
      </c>
    </row>
    <row r="38" spans="1:2" x14ac:dyDescent="0.25">
      <c r="A38" t="s">
        <v>34</v>
      </c>
      <c r="B38" s="6">
        <f>IF(eq_lp=0,0,AVERAGE(Waterfall!C22:L22)/eq_lp)</f>
        <v>0.08860254034877058</v>
      </c>
    </row>
    <row r="39" spans="1:2" x14ac:dyDescent="0.25">
      <c r="A39" t="s">
        <v>35</v>
      </c>
      <c r="B39" s="6">
        <f>IRR('Cash Flow'!B77:'Cash Flow'!L77)</f>
        <v>0.13557090070853384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SUM(Waterfall!C23:L23)+Waterfall!B32</f>
        <v>747625.6010673244</v>
      </c>
    </row>
    <row r="43" spans="1:2" x14ac:dyDescent="0.25">
      <c r="A43" t="s">
        <v>38</v>
      </c>
      <c r="B43" s="7">
        <f>IF(eq_gp=0,0,B42/eq_gp)</f>
        <v>4.054038096664488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0.8199991232876713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2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3900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</v>
      </c>
      <c r="D47" s="8">
        <v>0.6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99.99951845755396</v>
      </c>
      <c r="D2" s="8">
        <v>0.8199991232876713</v>
      </c>
      <c r="E2" s="11">
        <v>0</v>
      </c>
      <c r="F2" s="11">
        <v>0</v>
      </c>
    </row>
    <row r="3" spans="1:6" x14ac:dyDescent="0.25">
      <c r="A3" t="s">
        <v>106</v>
      </c>
      <c r="B3" t="s">
        <v>107</v>
      </c>
      <c r="C3" s="11">
        <v>99.99951845755396</v>
      </c>
      <c r="D3" s="8">
        <v>0.8199991232876713</v>
      </c>
      <c r="E3" s="11">
        <v>0</v>
      </c>
      <c r="F3" s="11">
        <v>0</v>
      </c>
    </row>
    <row r="4" spans="1:6" x14ac:dyDescent="0.25">
      <c r="A4" t="s">
        <v>106</v>
      </c>
      <c r="B4" t="s">
        <v>107</v>
      </c>
      <c r="C4" s="11">
        <v>99.99951845755396</v>
      </c>
      <c r="D4" s="8">
        <v>0.8199991232876713</v>
      </c>
      <c r="E4" s="11">
        <v>0</v>
      </c>
      <c r="F4" s="11">
        <v>0</v>
      </c>
    </row>
    <row r="5" spans="1:6" x14ac:dyDescent="0.25">
      <c r="A5" t="s">
        <v>106</v>
      </c>
      <c r="B5" t="s">
        <v>107</v>
      </c>
      <c r="C5" s="11">
        <v>99.99951845755396</v>
      </c>
      <c r="D5" s="8">
        <v>0.8199991232876713</v>
      </c>
      <c r="E5" s="11">
        <v>0</v>
      </c>
      <c r="F5" s="11">
        <v>0</v>
      </c>
    </row>
    <row r="6" spans="1:6" x14ac:dyDescent="0.25">
      <c r="A6" t="s">
        <v>106</v>
      </c>
      <c r="B6" t="s">
        <v>107</v>
      </c>
      <c r="C6" s="11">
        <v>99.99951845755396</v>
      </c>
      <c r="D6" s="8">
        <v>0.8199991232876713</v>
      </c>
      <c r="E6" s="11">
        <v>0</v>
      </c>
      <c r="F6" s="11">
        <v>0</v>
      </c>
    </row>
    <row r="7" spans="1:6" x14ac:dyDescent="0.25">
      <c r="A7" t="s">
        <v>106</v>
      </c>
      <c r="B7" t="s">
        <v>107</v>
      </c>
      <c r="C7" s="11">
        <v>99.99951845755396</v>
      </c>
      <c r="D7" s="8">
        <v>0.8199991232876713</v>
      </c>
      <c r="E7" s="11">
        <v>0</v>
      </c>
      <c r="F7" s="11">
        <v>0</v>
      </c>
    </row>
    <row r="8" spans="1:6" x14ac:dyDescent="0.25">
      <c r="A8" t="s">
        <v>106</v>
      </c>
      <c r="B8" t="s">
        <v>107</v>
      </c>
      <c r="C8" s="11">
        <v>99.99951845755396</v>
      </c>
      <c r="D8" s="8">
        <v>0.8199991232876713</v>
      </c>
      <c r="E8" s="11">
        <v>0</v>
      </c>
      <c r="F8" s="11">
        <v>0</v>
      </c>
    </row>
    <row r="9" spans="1:6" x14ac:dyDescent="0.25">
      <c r="A9" t="s">
        <v>106</v>
      </c>
      <c r="B9" t="s">
        <v>107</v>
      </c>
      <c r="C9" s="11">
        <v>99.99951845755396</v>
      </c>
      <c r="D9" s="8">
        <v>0.8199991232876713</v>
      </c>
      <c r="E9" s="11">
        <v>0</v>
      </c>
      <c r="F9" s="11">
        <v>0</v>
      </c>
    </row>
    <row r="10" spans="1:6" x14ac:dyDescent="0.25">
      <c r="A10" t="s">
        <v>106</v>
      </c>
      <c r="B10" t="s">
        <v>107</v>
      </c>
      <c r="C10" s="11">
        <v>99.99951845755396</v>
      </c>
      <c r="D10" s="8">
        <v>0.8199991232876713</v>
      </c>
      <c r="E10" s="11">
        <v>0</v>
      </c>
      <c r="F10" s="11">
        <v>0</v>
      </c>
    </row>
    <row r="11" spans="1:6" x14ac:dyDescent="0.25">
      <c r="A11" t="s">
        <v>106</v>
      </c>
      <c r="B11" t="s">
        <v>107</v>
      </c>
      <c r="C11" s="11">
        <v>99.99951845755396</v>
      </c>
      <c r="D11" s="8">
        <v>0.8199991232876713</v>
      </c>
      <c r="E11" s="11">
        <v>0</v>
      </c>
      <c r="F11" s="11">
        <v>0</v>
      </c>
    </row>
    <row r="12" spans="1:6" x14ac:dyDescent="0.25">
      <c r="A12" t="s">
        <v>108</v>
      </c>
      <c r="B12" t="s">
        <v>107</v>
      </c>
      <c r="C12" s="11">
        <v>128.0009092559003</v>
      </c>
      <c r="D12" s="8">
        <v>0.8199991232876713</v>
      </c>
      <c r="E12" s="11">
        <v>0</v>
      </c>
      <c r="F12" s="11">
        <v>0</v>
      </c>
    </row>
    <row r="13" spans="1:6" x14ac:dyDescent="0.25">
      <c r="A13" t="s">
        <v>108</v>
      </c>
      <c r="B13" t="s">
        <v>107</v>
      </c>
      <c r="C13" s="11">
        <v>128.0009092559003</v>
      </c>
      <c r="D13" s="8">
        <v>0.8199991232876713</v>
      </c>
      <c r="E13" s="11">
        <v>0</v>
      </c>
      <c r="F13" s="11">
        <v>0</v>
      </c>
    </row>
    <row r="14" spans="1:6" x14ac:dyDescent="0.25">
      <c r="A14" t="s">
        <v>108</v>
      </c>
      <c r="B14" t="s">
        <v>107</v>
      </c>
      <c r="C14" s="11">
        <v>128.0009092559003</v>
      </c>
      <c r="D14" s="8">
        <v>0.8199991232876713</v>
      </c>
      <c r="E14" s="11">
        <v>0</v>
      </c>
      <c r="F14" s="11">
        <v>0</v>
      </c>
    </row>
    <row r="15" spans="1:6" x14ac:dyDescent="0.25">
      <c r="A15" t="s">
        <v>108</v>
      </c>
      <c r="B15" t="s">
        <v>107</v>
      </c>
      <c r="C15" s="11">
        <v>128.0009092559003</v>
      </c>
      <c r="D15" s="8">
        <v>0.8199991232876713</v>
      </c>
      <c r="E15" s="11">
        <v>0</v>
      </c>
      <c r="F15" s="11">
        <v>0</v>
      </c>
    </row>
    <row r="17" spans="1:2" x14ac:dyDescent="0.25">
      <c r="A17" t="s">
        <v>109</v>
      </c>
      <c r="B17" s="4">
        <f>COUNTIF(B2:B15,"STR")</f>
        <v>14</v>
      </c>
    </row>
    <row r="18" spans="1:2" x14ac:dyDescent="0.25">
      <c r="A18" t="s">
        <v>110</v>
      </c>
      <c r="B18" s="5">
        <f>SUMPRODUCT(C2:C15,D2:D15,--(B2:B15="STR"))/SUMPRODUCT(D2:D15,--(B2:B15="STR"))</f>
        <v>107.99991582851008</v>
      </c>
    </row>
    <row r="19" spans="1:2" x14ac:dyDescent="0.25">
      <c r="A19" t="s">
        <v>111</v>
      </c>
      <c r="B19" s="5">
        <f>SUMPRODUCT(365*D2:D15/alos,E2:E15/(1+iva),--(B2:B15="STR"))</f>
        <v>0</v>
      </c>
    </row>
    <row r="20" spans="1:2" x14ac:dyDescent="0.25">
      <c r="A20" t="s">
        <v>112</v>
      </c>
      <c r="B20" s="5">
        <f>SUMPRODUCT(F2:F15,--(B2:B15&lt;&gt;"STR"),--(B2:B15&lt;&gt;"MTR"))*12</f>
        <v>0</v>
      </c>
    </row>
    <row r="21" spans="1:2" x14ac:dyDescent="0.25">
      <c r="A21" t="s">
        <v>113</v>
      </c>
      <c r="B21" s="4">
        <f>COUNTIF(B2:B15,"MTR")</f>
        <v>0</v>
      </c>
    </row>
    <row r="22" spans="1:2" x14ac:dyDescent="0.25">
      <c r="A22" t="s">
        <v>114</v>
      </c>
      <c r="B22" s="4">
        <f>unit_n+mtr_n</f>
        <v>14</v>
      </c>
    </row>
    <row r="23" spans="1:2" x14ac:dyDescent="0.25">
      <c r="A23" t="s">
        <v>115</v>
      </c>
      <c r="B23" s="5">
        <f>SUMPRODUCT(F2:F15,--(B2:B15="MTR"))*12</f>
        <v>0</v>
      </c>
    </row>
    <row r="24" spans="1:2" x14ac:dyDescent="0.25">
      <c r="A24" t="s">
        <v>116</v>
      </c>
      <c r="B24" s="12">
        <f>SUMPRODUCT(D2:D15,--(B2:B15="STR"))*365/alos</f>
        <v>1676.0782080000008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117</v>
      </c>
    </row>
    <row r="2" spans="1:2" x14ac:dyDescent="0.25">
      <c r="A2" t="s">
        <v>5</v>
      </c>
      <c r="B2" s="11">
        <v>1400000</v>
      </c>
    </row>
    <row r="3" spans="1:2" x14ac:dyDescent="0.25">
      <c r="A3" t="s">
        <v>118</v>
      </c>
      <c r="B3" s="9">
        <v>14</v>
      </c>
    </row>
    <row r="4" spans="1:2" x14ac:dyDescent="0.25">
      <c r="A4" t="s">
        <v>119</v>
      </c>
      <c r="B4" s="8">
        <v>0.0075</v>
      </c>
    </row>
    <row r="5" spans="1:2" x14ac:dyDescent="0.25">
      <c r="A5" t="s">
        <v>120</v>
      </c>
      <c r="B5" s="8">
        <v>0.06</v>
      </c>
    </row>
    <row r="6" spans="1:2" x14ac:dyDescent="0.25">
      <c r="A6" t="s">
        <v>121</v>
      </c>
      <c r="B6" s="8">
        <v>0.03</v>
      </c>
    </row>
    <row r="7" spans="1:2" x14ac:dyDescent="0.25">
      <c r="A7" t="s">
        <v>122</v>
      </c>
      <c r="B7" s="8">
        <v>0.005</v>
      </c>
    </row>
    <row r="8" spans="1:2" x14ac:dyDescent="0.25">
      <c r="A8" t="s">
        <v>123</v>
      </c>
      <c r="B8" s="11">
        <v>1800</v>
      </c>
    </row>
    <row r="9" spans="1:2" x14ac:dyDescent="0.25">
      <c r="A9" t="s">
        <v>124</v>
      </c>
      <c r="B9" s="11">
        <v>900</v>
      </c>
    </row>
    <row r="10" spans="1:2" x14ac:dyDescent="0.25">
      <c r="A10" t="s">
        <v>125</v>
      </c>
      <c r="B10" s="11">
        <v>3500</v>
      </c>
    </row>
    <row r="11" spans="1:2" x14ac:dyDescent="0.25">
      <c r="A11" t="s">
        <v>126</v>
      </c>
      <c r="B11" s="11">
        <v>2500</v>
      </c>
    </row>
    <row r="12" spans="1:2" x14ac:dyDescent="0.25">
      <c r="A12" t="s">
        <v>127</v>
      </c>
      <c r="B12" s="11">
        <v>0</v>
      </c>
    </row>
    <row r="13" spans="1:2" x14ac:dyDescent="0.25">
      <c r="A13" t="s">
        <v>128</v>
      </c>
      <c r="B13" s="11">
        <v>2000</v>
      </c>
    </row>
    <row r="14" spans="1:2" x14ac:dyDescent="0.25">
      <c r="A14" t="s">
        <v>129</v>
      </c>
      <c r="B14" s="11">
        <v>24000</v>
      </c>
    </row>
    <row r="15" spans="1:2" x14ac:dyDescent="0.25">
      <c r="A15" t="s">
        <v>130</v>
      </c>
      <c r="B15" s="11">
        <v>9000</v>
      </c>
    </row>
    <row r="16" spans="1:2" x14ac:dyDescent="0.25">
      <c r="A16" t="s">
        <v>131</v>
      </c>
      <c r="B16" s="8">
        <v>0</v>
      </c>
    </row>
    <row r="17" spans="1:2" x14ac:dyDescent="0.25">
      <c r="A17" t="s">
        <v>132</v>
      </c>
      <c r="B17" s="11">
        <v>6428.571428571428</v>
      </c>
    </row>
    <row r="18" spans="1:2" x14ac:dyDescent="0.25">
      <c r="A18" t="s">
        <v>133</v>
      </c>
      <c r="B18" s="11">
        <v>1400</v>
      </c>
    </row>
    <row r="19" spans="1:2" x14ac:dyDescent="0.25">
      <c r="A19" t="s">
        <v>134</v>
      </c>
      <c r="B19" s="11">
        <v>21000</v>
      </c>
    </row>
    <row r="20" spans="1:2" x14ac:dyDescent="0.25">
      <c r="A20" t="s">
        <v>135</v>
      </c>
      <c r="B20" s="11">
        <v>13000</v>
      </c>
    </row>
    <row r="21" spans="1:2" x14ac:dyDescent="0.25">
      <c r="A21" t="s">
        <v>136</v>
      </c>
      <c r="B21" s="8">
        <v>0.02</v>
      </c>
    </row>
    <row r="23" spans="1:2" x14ac:dyDescent="0.25">
      <c r="A23" t="s">
        <v>137</v>
      </c>
      <c r="B23" s="5">
        <f>ajd_pct*price+itp_pct*price+broker_pct*price+dd_pct*price+notary_f+registry_f+spv_f+taxadv_f</f>
        <v>152200</v>
      </c>
    </row>
    <row r="24" spans="1:2" x14ac:dyDescent="0.25">
      <c r="A24" t="s">
        <v>138</v>
      </c>
      <c r="B24" s="5">
        <f>(reno_u*(units_c-1)+appl_u*units_c+common_f+deep_f)*(1+conting_pct)</f>
        <v>61000</v>
      </c>
    </row>
    <row r="25" spans="1:2" x14ac:dyDescent="0.25">
      <c r="A25" t="s">
        <v>139</v>
      </c>
      <c r="B25" s="5">
        <f>(ffe_u+itl_u)*units_c</f>
        <v>109600</v>
      </c>
    </row>
    <row r="26" spans="1:2" x14ac:dyDescent="0.25">
      <c r="A26" t="s">
        <v>140</v>
      </c>
      <c r="B26" s="5">
        <f>permits_f+arch_f</f>
        <v>40000</v>
      </c>
    </row>
    <row r="27" spans="1:2" x14ac:dyDescent="0.25">
      <c r="A27" t="s">
        <v>141</v>
      </c>
      <c r="B27" s="5">
        <f>price+B23+B24+B25+B26</f>
        <v>1762800</v>
      </c>
    </row>
    <row r="28" spans="1:2" x14ac:dyDescent="0.25">
      <c r="A28" t="s">
        <v>142</v>
      </c>
      <c r="B28" s="5">
        <f>gp_fee_pct*cost_base/(1-gp_fee_pct)</f>
        <v>35975.510204081635</v>
      </c>
    </row>
    <row r="29" spans="1:2" x14ac:dyDescent="0.25">
      <c r="A29" s="3" t="s">
        <v>143</v>
      </c>
      <c r="B29" s="5">
        <f>cost_base+B28</f>
        <v>1798775.5102040817</v>
      </c>
    </row>
    <row r="30" spans="1:1" x14ac:dyDescent="0.25">
      <c r="A30" s="3" t="s">
        <v>144</v>
      </c>
    </row>
    <row r="31" spans="1:2" x14ac:dyDescent="0.25">
      <c r="A31" t="s">
        <v>145</v>
      </c>
      <c r="B31" s="5">
        <f>0*price</f>
        <v>0</v>
      </c>
    </row>
    <row r="32" spans="1:2" x14ac:dyDescent="0.25">
      <c r="A32" t="s">
        <v>146</v>
      </c>
      <c r="B32" s="5">
        <f>vat_works*B24</f>
        <v>12810</v>
      </c>
    </row>
    <row r="33" spans="1:2" x14ac:dyDescent="0.25">
      <c r="A33" t="s">
        <v>147</v>
      </c>
      <c r="B33" s="5">
        <f>vat_ffe*B25</f>
        <v>23016</v>
      </c>
    </row>
    <row r="34" spans="1:2" x14ac:dyDescent="0.25">
      <c r="A34" t="s">
        <v>148</v>
      </c>
      <c r="B34" s="5">
        <f>vat_soft*B26</f>
        <v>8400</v>
      </c>
    </row>
    <row r="35" spans="1:2" x14ac:dyDescent="0.25">
      <c r="A35" t="s">
        <v>149</v>
      </c>
      <c r="B35" s="5">
        <f>vat_fees*(B23-ajd_pct*price-itp_pct*price)</f>
        <v>12117</v>
      </c>
    </row>
    <row r="36" spans="1:2" x14ac:dyDescent="0.25">
      <c r="A36" s="3" t="s">
        <v>150</v>
      </c>
      <c r="B36" s="5">
        <f>SUM(B31:B35)</f>
        <v>56343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12" width="12" customWidth="1"/>
  </cols>
  <sheetData>
    <row r="1" spans="1:1" x14ac:dyDescent="0.25">
      <c r="A1" s="2" t="s">
        <v>151</v>
      </c>
    </row>
    <row r="2" spans="3:12" x14ac:dyDescent="0.25">
      <c r="C2" s="3" t="s">
        <v>152</v>
      </c>
      <c r="D2" s="3" t="s">
        <v>153</v>
      </c>
      <c r="E2" s="3" t="s">
        <v>154</v>
      </c>
      <c r="F2" s="3" t="s">
        <v>155</v>
      </c>
      <c r="G2" s="3" t="s">
        <v>156</v>
      </c>
      <c r="H2" s="3" t="s">
        <v>157</v>
      </c>
      <c r="I2" s="3" t="s">
        <v>158</v>
      </c>
      <c r="J2" s="3" t="s">
        <v>159</v>
      </c>
      <c r="K2" s="3" t="s">
        <v>160</v>
      </c>
      <c r="L2" s="3" t="s">
        <v>161</v>
      </c>
    </row>
    <row r="3" spans="1:12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0.8199991232876713</v>
      </c>
      <c r="F3" s="6">
        <f>occ_stab</f>
        <v>0.8199991232876713</v>
      </c>
      <c r="G3" s="6">
        <f>occ_stab</f>
        <v>0.8199991232876713</v>
      </c>
      <c r="H3" s="6">
        <f>occ_stab</f>
        <v>0.8199991232876713</v>
      </c>
      <c r="I3" s="6">
        <f>occ_stab</f>
        <v>0.8199991232876713</v>
      </c>
      <c r="J3" s="6">
        <f>occ_stab</f>
        <v>0.8199991232876713</v>
      </c>
      <c r="K3" s="6">
        <f>occ_stab</f>
        <v>0.8199991232876713</v>
      </c>
      <c r="L3" s="6">
        <f>occ_stab</f>
        <v>0.8199991232876713</v>
      </c>
    </row>
    <row r="4" spans="1:12" x14ac:dyDescent="0.25">
      <c r="A4" t="s">
        <v>162</v>
      </c>
      <c r="C4" s="5">
        <f>blended_incl/(1+iva)*adr_y1f</f>
        <v>93.27265457916778</v>
      </c>
      <c r="D4" s="5">
        <f>blended_incl/(1+iva)</f>
        <v>98.18174166228188</v>
      </c>
      <c r="E4" s="5">
        <f>D4*(1+adr_infl)</f>
        <v>100.14537649552751</v>
      </c>
      <c r="F4" s="5">
        <f>E4*(1+adr_infl)</f>
        <v>102.14828402543807</v>
      </c>
      <c r="G4" s="5">
        <f>F4*(1+adr_infl)</f>
        <v>104.19124970594683</v>
      </c>
      <c r="H4" s="5">
        <f>G4*(1+adr_infl)</f>
        <v>106.27507470006577</v>
      </c>
      <c r="I4" s="5">
        <f>H4*(1+adr_infl)</f>
        <v>108.40057619406709</v>
      </c>
      <c r="J4" s="5">
        <f>I4*(1+adr_infl)</f>
        <v>110.56858771794843</v>
      </c>
      <c r="K4" s="5">
        <f>J4*(1+adr_infl)</f>
        <v>112.7799594723074</v>
      </c>
      <c r="L4" s="5">
        <f>K4*(1+adr_infl)</f>
        <v>115.03555866175354</v>
      </c>
    </row>
    <row r="5" spans="1:12" x14ac:dyDescent="0.25">
      <c r="A5" t="s">
        <v>163</v>
      </c>
      <c r="C5" s="5">
        <f>C3*365*C4*unit_n</f>
        <v>362233.68132365594</v>
      </c>
      <c r="D5" s="5">
        <f>D3*365*D4*unit_n</f>
        <v>396349.87291646574</v>
      </c>
      <c r="E5" s="5">
        <f>E3*365*E4*unit_n</f>
        <v>419628.7079402727</v>
      </c>
      <c r="F5" s="5">
        <f>F3*365*F4*unit_n</f>
        <v>428021.2820990782</v>
      </c>
      <c r="G5" s="5">
        <f>G3*365*G4*unit_n</f>
        <v>436581.7077410597</v>
      </c>
      <c r="H5" s="5">
        <f>H3*365*H4*unit_n</f>
        <v>445313.341895881</v>
      </c>
      <c r="I5" s="5">
        <f>I3*365*I4*unit_n</f>
        <v>454219.6087337986</v>
      </c>
      <c r="J5" s="5">
        <f>J3*365*J4*unit_n</f>
        <v>463304.00090847455</v>
      </c>
      <c r="K5" s="5">
        <f>K3*365*K4*unit_n</f>
        <v>472570.08092664403</v>
      </c>
      <c r="L5" s="5">
        <f>L3*365*L4*unit_n</f>
        <v>482021.4825451769</v>
      </c>
    </row>
    <row r="6" spans="1:12" x14ac:dyDescent="0.25">
      <c r="A6" t="s">
        <v>164</v>
      </c>
      <c r="C6" s="5">
        <f>clean_base*C3/occ_stab</f>
        <v>0</v>
      </c>
      <c r="D6" s="5">
        <f>clean_base*D3/occ_stab</f>
        <v>0</v>
      </c>
      <c r="E6" s="5">
        <f>clean_base*E3/occ_stab</f>
        <v>0</v>
      </c>
      <c r="F6" s="5">
        <f>clean_base*F3/occ_stab</f>
        <v>0</v>
      </c>
      <c r="G6" s="5">
        <f>clean_base*G3/occ_stab</f>
        <v>0</v>
      </c>
      <c r="H6" s="5">
        <f>clean_base*H3/occ_stab</f>
        <v>0</v>
      </c>
      <c r="I6" s="5">
        <f>clean_base*I3/occ_stab</f>
        <v>0</v>
      </c>
      <c r="J6" s="5">
        <f>clean_base*J3/occ_stab</f>
        <v>0</v>
      </c>
      <c r="K6" s="5">
        <f>clean_base*K3/occ_stab</f>
        <v>0</v>
      </c>
      <c r="L6" s="5">
        <f>clean_base*L3/occ_stab</f>
        <v>0</v>
      </c>
    </row>
    <row r="7" spans="1:12" x14ac:dyDescent="0.25">
      <c r="A7" t="s">
        <v>165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  <c r="G7" s="5">
        <f>mtr_rent_a*(1+mtr_rinfl)^MAX(0,5-2)</f>
        <v>0</v>
      </c>
      <c r="H7" s="5">
        <f>mtr_rent_a*(1+mtr_rinfl)^MAX(0,6-2)</f>
        <v>0</v>
      </c>
      <c r="I7" s="5">
        <f>mtr_rent_a*(1+mtr_rinfl)^MAX(0,7-2)</f>
        <v>0</v>
      </c>
      <c r="J7" s="5">
        <f>mtr_rent_a*(1+mtr_rinfl)^MAX(0,8-2)</f>
        <v>0</v>
      </c>
      <c r="K7" s="5">
        <f>mtr_rent_a*(1+mtr_rinfl)^MAX(0,9-2)</f>
        <v>0</v>
      </c>
      <c r="L7" s="5">
        <f>mtr_rent_a*(1+mtr_rinfl)^MAX(0,10-2)</f>
        <v>0</v>
      </c>
    </row>
    <row r="8" spans="1:12" x14ac:dyDescent="0.25">
      <c r="A8" t="s">
        <v>166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  <c r="G8" s="5">
        <f>(anc_a+anc_units)*(1+cost_infl)^MAX(0,5-2)</f>
        <v>0</v>
      </c>
      <c r="H8" s="5">
        <f>(anc_a+anc_units)*(1+cost_infl)^MAX(0,6-2)</f>
        <v>0</v>
      </c>
      <c r="I8" s="5">
        <f>(anc_a+anc_units)*(1+cost_infl)^MAX(0,7-2)</f>
        <v>0</v>
      </c>
      <c r="J8" s="5">
        <f>(anc_a+anc_units)*(1+cost_infl)^MAX(0,8-2)</f>
        <v>0</v>
      </c>
      <c r="K8" s="5">
        <f>(anc_a+anc_units)*(1+cost_infl)^MAX(0,9-2)</f>
        <v>0</v>
      </c>
      <c r="L8" s="5">
        <f>(anc_a+anc_units)*(1+cost_infl)^MAX(0,10-2)</f>
        <v>0</v>
      </c>
    </row>
    <row r="9" spans="1:12" x14ac:dyDescent="0.25">
      <c r="A9" s="3" t="s">
        <v>167</v>
      </c>
      <c r="C9" s="5">
        <f>C5+C6+C7+C8</f>
        <v>362233.68132365594</v>
      </c>
      <c r="D9" s="5">
        <f>D5+D6+D7+D8</f>
        <v>396349.87291646574</v>
      </c>
      <c r="E9" s="5">
        <f>E5+E6+E7+E8</f>
        <v>419628.7079402727</v>
      </c>
      <c r="F9" s="5">
        <f>F5+F6+F7+F8</f>
        <v>428021.2820990782</v>
      </c>
      <c r="G9" s="5">
        <f>G5+G6+G7+G8</f>
        <v>436581.7077410597</v>
      </c>
      <c r="H9" s="5">
        <f>H5+H6+H7+H8</f>
        <v>445313.341895881</v>
      </c>
      <c r="I9" s="5">
        <f>I5+I6+I7+I8</f>
        <v>454219.6087337986</v>
      </c>
      <c r="J9" s="5">
        <f>J5+J6+J7+J8</f>
        <v>463304.00090847455</v>
      </c>
      <c r="K9" s="5">
        <f>K5+K6+K7+K8</f>
        <v>472570.08092664403</v>
      </c>
      <c r="L9" s="5">
        <f>L5+L6+L7+L8</f>
        <v>482021.4825451769</v>
      </c>
    </row>
    <row r="10" spans="1:12" x14ac:dyDescent="0.25">
      <c r="A10" t="s">
        <v>168</v>
      </c>
      <c r="C10" s="5">
        <f>-(C5+C6)*comm_pct</f>
        <v>-61579.725825021516</v>
      </c>
      <c r="D10" s="5">
        <f>-(D5+D6)*comm_pct</f>
        <v>-67379.47839579917</v>
      </c>
      <c r="E10" s="5">
        <f>-(E5+E6)*comm_pct</f>
        <v>-71336.88034984637</v>
      </c>
      <c r="F10" s="5">
        <f>-(F5+F6)*comm_pct</f>
        <v>-72763.6179568433</v>
      </c>
      <c r="G10" s="5">
        <f>-(G5+G6)*comm_pct</f>
        <v>-74218.89031598016</v>
      </c>
      <c r="H10" s="5">
        <f>-(H5+H6)*comm_pct</f>
        <v>-75703.26812229978</v>
      </c>
      <c r="I10" s="5">
        <f>-(I5+I6)*comm_pct</f>
        <v>-77217.33348474577</v>
      </c>
      <c r="J10" s="5">
        <f>-(J5+J6)*comm_pct</f>
        <v>-78761.68015444068</v>
      </c>
      <c r="K10" s="5">
        <f>-(K5+K6)*comm_pct</f>
        <v>-80336.91375752949</v>
      </c>
      <c r="L10" s="5">
        <f>-(L5+L6)*comm_pct</f>
        <v>-81943.65203268008</v>
      </c>
    </row>
    <row r="11" spans="1:12" x14ac:dyDescent="0.25">
      <c r="A11" t="s">
        <v>169</v>
      </c>
      <c r="C11" s="5">
        <f>-turn_base*C3/occ_stab*hk_hours*hk_rate*C35</f>
        <v>-41942.88000000001</v>
      </c>
      <c r="D11" s="5">
        <f>-turn_base*D3/occ_stab*hk_hours*hk_rate*D35</f>
        <v>-44470.49040000002</v>
      </c>
      <c r="E11" s="5">
        <f>-turn_base*E3/occ_stab*hk_hours*hk_rate*E35</f>
        <v>-47082.377725286424</v>
      </c>
      <c r="F11" s="5">
        <f>-turn_base*F3/occ_stab*hk_hours*hk_rate*F35</f>
        <v>-48024.02527979216</v>
      </c>
      <c r="G11" s="5">
        <f>-turn_base*G3/occ_stab*hk_hours*hk_rate*G35</f>
        <v>-48984.50578538799</v>
      </c>
      <c r="H11" s="5">
        <f>-turn_base*H3/occ_stab*hk_hours*hk_rate*H35</f>
        <v>-49964.19590109576</v>
      </c>
      <c r="I11" s="5">
        <f>-turn_base*I3/occ_stab*hk_hours*hk_rate*I35</f>
        <v>-50963.479819117674</v>
      </c>
      <c r="J11" s="5">
        <f>-turn_base*J3/occ_stab*hk_hours*hk_rate*J35</f>
        <v>-51982.749415500024</v>
      </c>
      <c r="K11" s="5">
        <f>-turn_base*K3/occ_stab*hk_hours*hk_rate*K35</f>
        <v>-53022.40440381003</v>
      </c>
      <c r="L11" s="5">
        <f>-turn_base*L3/occ_stab*hk_hours*hk_rate*L35</f>
        <v>-54082.85249188623</v>
      </c>
    </row>
    <row r="12" spans="1:12" x14ac:dyDescent="0.25">
      <c r="A12" t="s">
        <v>170</v>
      </c>
      <c r="C12" s="5">
        <f>-turn_base*C3/occ_stab*linen_t*C35</f>
        <v>-7767.200000000003</v>
      </c>
      <c r="D12" s="5">
        <f>-turn_base*D3/occ_stab*linen_t*D35</f>
        <v>-8235.276000000003</v>
      </c>
      <c r="E12" s="5">
        <f>-turn_base*E3/occ_stab*linen_t*E35</f>
        <v>-8718.958838016004</v>
      </c>
      <c r="F12" s="5">
        <f>-turn_base*F3/occ_stab*linen_t*F35</f>
        <v>-8893.338014776326</v>
      </c>
      <c r="G12" s="5">
        <f>-turn_base*G3/occ_stab*linen_t*G35</f>
        <v>-9071.20477507185</v>
      </c>
      <c r="H12" s="5">
        <f>-turn_base*H3/occ_stab*linen_t*H35</f>
        <v>-9252.628870573288</v>
      </c>
      <c r="I12" s="5">
        <f>-turn_base*I3/occ_stab*linen_t*I35</f>
        <v>-9437.681447984754</v>
      </c>
      <c r="J12" s="5">
        <f>-turn_base*J3/occ_stab*linen_t*J35</f>
        <v>-9626.435076944448</v>
      </c>
      <c r="K12" s="5">
        <f>-turn_base*K3/occ_stab*linen_t*K35</f>
        <v>-9818.96377848334</v>
      </c>
      <c r="L12" s="5">
        <f>-turn_base*L3/occ_stab*linen_t*L35</f>
        <v>-10015.343054053006</v>
      </c>
    </row>
    <row r="13" spans="1:12" x14ac:dyDescent="0.25">
      <c r="A13" t="s">
        <v>171</v>
      </c>
      <c r="C13" s="5">
        <f>-turn_base*C3/occ_stab*amen_t*C35</f>
        <v>-4660.3200000000015</v>
      </c>
      <c r="D13" s="5">
        <f>-turn_base*D3/occ_stab*amen_t*D35</f>
        <v>-4941.165600000003</v>
      </c>
      <c r="E13" s="5">
        <f>-turn_base*E3/occ_stab*amen_t*E35</f>
        <v>-5231.3753028096025</v>
      </c>
      <c r="F13" s="5">
        <f>-turn_base*F3/occ_stab*amen_t*F35</f>
        <v>-5336.0028088657955</v>
      </c>
      <c r="G13" s="5">
        <f>-turn_base*G3/occ_stab*amen_t*G35</f>
        <v>-5442.722865043111</v>
      </c>
      <c r="H13" s="5">
        <f>-turn_base*H3/occ_stab*amen_t*H35</f>
        <v>-5551.577322343973</v>
      </c>
      <c r="I13" s="5">
        <f>-turn_base*I3/occ_stab*amen_t*I35</f>
        <v>-5662.608868790852</v>
      </c>
      <c r="J13" s="5">
        <f>-turn_base*J3/occ_stab*amen_t*J35</f>
        <v>-5775.861046166669</v>
      </c>
      <c r="K13" s="5">
        <f>-turn_base*K3/occ_stab*amen_t*K35</f>
        <v>-5891.378267090004</v>
      </c>
      <c r="L13" s="5">
        <f>-turn_base*L3/occ_stab*amen_t*L35</f>
        <v>-6009.205832431803</v>
      </c>
    </row>
    <row r="14" spans="1:12" x14ac:dyDescent="0.25">
      <c r="A14" s="3" t="s">
        <v>172</v>
      </c>
      <c r="C14" s="5">
        <f>C10+C11+C12+C13</f>
        <v>-115950.12582502153</v>
      </c>
      <c r="D14" s="5">
        <f>D10+D11+D12+D13</f>
        <v>-125026.4103957992</v>
      </c>
      <c r="E14" s="5">
        <f>E10+E11+E12+E13</f>
        <v>-132369.5922159584</v>
      </c>
      <c r="F14" s="5">
        <f>F10+F11+F12+F13</f>
        <v>-135016.98406027758</v>
      </c>
      <c r="G14" s="5">
        <f>G10+G11+G12+G13</f>
        <v>-137717.3237414831</v>
      </c>
      <c r="H14" s="5">
        <f>H10+H11+H12+H13</f>
        <v>-140471.6702163128</v>
      </c>
      <c r="I14" s="5">
        <f>I10+I11+I12+I13</f>
        <v>-143281.10362063907</v>
      </c>
      <c r="J14" s="5">
        <f>J10+J11+J12+J13</f>
        <v>-146146.72569305182</v>
      </c>
      <c r="K14" s="5">
        <f>K10+K11+K12+K13</f>
        <v>-149069.66020691287</v>
      </c>
      <c r="L14" s="5">
        <f>L10+L11+L12+L13</f>
        <v>-152051.0534110511</v>
      </c>
    </row>
    <row r="15" spans="1:12" x14ac:dyDescent="0.25">
      <c r="A15" t="s">
        <v>173</v>
      </c>
      <c r="C15" s="5">
        <f>-admin_m*12*C35</f>
        <v>-2400</v>
      </c>
      <c r="D15" s="5">
        <f>-admin_m*12*D35</f>
        <v>-2448</v>
      </c>
      <c r="E15" s="5">
        <f>-admin_m*12*E35</f>
        <v>-2496.96</v>
      </c>
      <c r="F15" s="5">
        <f>-admin_m*12*F35</f>
        <v>-2546.8992000000003</v>
      </c>
      <c r="G15" s="5">
        <f>-admin_m*12*G35</f>
        <v>-2597.837184</v>
      </c>
      <c r="H15" s="5">
        <f>-admin_m*12*H35</f>
        <v>-2649.7939276800003</v>
      </c>
      <c r="I15" s="5">
        <f>-admin_m*12*I35</f>
        <v>-2702.7898062336003</v>
      </c>
      <c r="J15" s="5">
        <f>-admin_m*12*J35</f>
        <v>-2756.845602358272</v>
      </c>
      <c r="K15" s="5">
        <f>-admin_m*12*K35</f>
        <v>-2811.982514405438</v>
      </c>
      <c r="L15" s="5">
        <f>-admin_m*12*L35</f>
        <v>-2868.2221646935463</v>
      </c>
    </row>
    <row r="16" spans="1:12" x14ac:dyDescent="0.25">
      <c r="A16" t="s">
        <v>174</v>
      </c>
      <c r="C16" s="5">
        <f>-(unit_n*util_m+mtr_n*mtr_util_m+cost_unit_n*commu_m)*12*C35</f>
        <v>-23016</v>
      </c>
      <c r="D16" s="5">
        <f>-(unit_n*util_m+mtr_n*mtr_util_m+cost_unit_n*commu_m)*12*D35</f>
        <v>-23476.32</v>
      </c>
      <c r="E16" s="5">
        <f>-(unit_n*util_m+mtr_n*mtr_util_m+cost_unit_n*commu_m)*12*E35</f>
        <v>-23945.8464</v>
      </c>
      <c r="F16" s="5">
        <f>-(unit_n*util_m+mtr_n*mtr_util_m+cost_unit_n*commu_m)*12*F35</f>
        <v>-24424.763328000005</v>
      </c>
      <c r="G16" s="5">
        <f>-(unit_n*util_m+mtr_n*mtr_util_m+cost_unit_n*commu_m)*12*G35</f>
        <v>-24913.25859456</v>
      </c>
      <c r="H16" s="5">
        <f>-(unit_n*util_m+mtr_n*mtr_util_m+cost_unit_n*commu_m)*12*H35</f>
        <v>-25411.5237664512</v>
      </c>
      <c r="I16" s="5">
        <f>-(unit_n*util_m+mtr_n*mtr_util_m+cost_unit_n*commu_m)*12*I35</f>
        <v>-25919.754241780225</v>
      </c>
      <c r="J16" s="5">
        <f>-(unit_n*util_m+mtr_n*mtr_util_m+cost_unit_n*commu_m)*12*J35</f>
        <v>-26438.14932661583</v>
      </c>
      <c r="K16" s="5">
        <f>-(unit_n*util_m+mtr_n*mtr_util_m+cost_unit_n*commu_m)*12*K35</f>
        <v>-26966.91231314815</v>
      </c>
      <c r="L16" s="5">
        <f>-(unit_n*util_m+mtr_n*mtr_util_m+cost_unit_n*commu_m)*12*L35</f>
        <v>-27506.25055941111</v>
      </c>
    </row>
    <row r="17" spans="1:12" x14ac:dyDescent="0.25">
      <c r="A17" t="s">
        <v>175</v>
      </c>
      <c r="C17" s="5">
        <f>-C9*maint_pct</f>
        <v>-4346.804175883872</v>
      </c>
      <c r="D17" s="5">
        <f>-D9*maint_pct</f>
        <v>-4756.198474997589</v>
      </c>
      <c r="E17" s="5">
        <f>-E9*maint_pct</f>
        <v>-5035.544495283272</v>
      </c>
      <c r="F17" s="5">
        <f>-F9*maint_pct</f>
        <v>-5136.255385188938</v>
      </c>
      <c r="G17" s="5">
        <f>-G9*maint_pct</f>
        <v>-5238.980492892717</v>
      </c>
      <c r="H17" s="5">
        <f>-H9*maint_pct</f>
        <v>-5343.760102750572</v>
      </c>
      <c r="I17" s="5">
        <f>-I9*maint_pct</f>
        <v>-5450.6353048055835</v>
      </c>
      <c r="J17" s="5">
        <f>-J9*maint_pct</f>
        <v>-5559.648010901695</v>
      </c>
      <c r="K17" s="5">
        <f>-K9*maint_pct</f>
        <v>-5670.840971119728</v>
      </c>
      <c r="L17" s="5">
        <f>-L9*maint_pct</f>
        <v>-5784.257790542123</v>
      </c>
    </row>
    <row r="18" spans="1:12" x14ac:dyDescent="0.25">
      <c r="A18" t="s">
        <v>176</v>
      </c>
      <c r="C18" s="5">
        <f>-cost_unit_n*12*it_m*C35</f>
        <v>-6720</v>
      </c>
      <c r="D18" s="5">
        <f>-cost_unit_n*12*it_m*D35</f>
        <v>-6854.400000000001</v>
      </c>
      <c r="E18" s="5">
        <f>-cost_unit_n*12*it_m*E35</f>
        <v>-6991.488</v>
      </c>
      <c r="F18" s="5">
        <f>-cost_unit_n*12*it_m*F35</f>
        <v>-7131.317760000001</v>
      </c>
      <c r="G18" s="5">
        <f>-cost_unit_n*12*it_m*G35</f>
        <v>-7273.9441152</v>
      </c>
      <c r="H18" s="5">
        <f>-cost_unit_n*12*it_m*H35</f>
        <v>-7419.422997504</v>
      </c>
      <c r="I18" s="5">
        <f>-cost_unit_n*12*it_m*I35</f>
        <v>-7567.8114574540805</v>
      </c>
      <c r="J18" s="5">
        <f>-cost_unit_n*12*it_m*J35</f>
        <v>-7719.167686603162</v>
      </c>
      <c r="K18" s="5">
        <f>-cost_unit_n*12*it_m*K35</f>
        <v>-7873.5510403352255</v>
      </c>
      <c r="L18" s="5">
        <f>-cost_unit_n*12*it_m*L35</f>
        <v>-8031.02206114193</v>
      </c>
    </row>
    <row r="19" spans="1:12" x14ac:dyDescent="0.25">
      <c r="A19" t="s">
        <v>177</v>
      </c>
      <c r="C19" s="5">
        <f>IF(1=1,-2800*1,0)</f>
        <v>-2800</v>
      </c>
      <c r="D19" s="5">
        <f>IF(2=1,-2800*1,0)</f>
        <v>0</v>
      </c>
      <c r="E19" s="5">
        <f>IF(3=1,-2800*1,0)</f>
        <v>0</v>
      </c>
      <c r="F19" s="5">
        <f>IF(4=1,-2800*1,0)</f>
        <v>0</v>
      </c>
      <c r="G19" s="5">
        <f>IF(5=1,-2800*1,0)</f>
        <v>0</v>
      </c>
      <c r="H19" s="5">
        <f>IF(6=1,-2800*1,0)</f>
        <v>0</v>
      </c>
      <c r="I19" s="5">
        <f>IF(7=1,-2800*1,0)</f>
        <v>0</v>
      </c>
      <c r="J19" s="5">
        <f>IF(8=1,-2800*1,0)</f>
        <v>0</v>
      </c>
      <c r="K19" s="5">
        <f>IF(9=1,-2800*1,0)</f>
        <v>0</v>
      </c>
      <c r="L19" s="5">
        <f>IF(10=1,-2800*1,0)</f>
        <v>0</v>
      </c>
    </row>
    <row r="20" spans="1:12" x14ac:dyDescent="0.25">
      <c r="A20" t="s">
        <v>178</v>
      </c>
      <c r="C20" s="5">
        <f>-15000*C35</f>
        <v>-15000</v>
      </c>
      <c r="D20" s="5">
        <f>-15000*D35</f>
        <v>-15300</v>
      </c>
      <c r="E20" s="5">
        <f>-15000*E35</f>
        <v>-15606</v>
      </c>
      <c r="F20" s="5">
        <f>-15000*F35</f>
        <v>-15918.120000000003</v>
      </c>
      <c r="G20" s="5">
        <f>-15000*G35</f>
        <v>-16236.482399999999</v>
      </c>
      <c r="H20" s="5">
        <f>-15000*H35</f>
        <v>-16561.212048</v>
      </c>
      <c r="I20" s="5">
        <f>-15000*I35</f>
        <v>-16892.43628896</v>
      </c>
      <c r="J20" s="5">
        <f>-15000*J35</f>
        <v>-17230.285014739202</v>
      </c>
      <c r="K20" s="5">
        <f>-15000*K35</f>
        <v>-17574.890715033987</v>
      </c>
      <c r="L20" s="5">
        <f>-15000*L35</f>
        <v>-17926.388529334665</v>
      </c>
    </row>
    <row r="21" spans="1:12" x14ac:dyDescent="0.25">
      <c r="A21" t="s">
        <v>179</v>
      </c>
      <c r="C21" s="5">
        <f>-4*cost_unit_n*12*C35</f>
        <v>-672</v>
      </c>
      <c r="D21" s="5">
        <f>-4*cost_unit_n*12*D35</f>
        <v>-685.44</v>
      </c>
      <c r="E21" s="5">
        <f>-4*cost_unit_n*12*E35</f>
        <v>-699.1487999999999</v>
      </c>
      <c r="F21" s="5">
        <f>-4*cost_unit_n*12*F35</f>
        <v>-713.1317760000001</v>
      </c>
      <c r="G21" s="5">
        <f>-4*cost_unit_n*12*G35</f>
        <v>-727.39441152</v>
      </c>
      <c r="H21" s="5">
        <f>-4*cost_unit_n*12*H35</f>
        <v>-741.9422997504</v>
      </c>
      <c r="I21" s="5">
        <f>-4*cost_unit_n*12*I35</f>
        <v>-756.781145745408</v>
      </c>
      <c r="J21" s="5">
        <f>-4*cost_unit_n*12*J35</f>
        <v>-771.9167686603162</v>
      </c>
      <c r="K21" s="5">
        <f>-4*cost_unit_n*12*K35</f>
        <v>-787.3551040335226</v>
      </c>
      <c r="L21" s="5">
        <f>-4*cost_unit_n*12*L35</f>
        <v>-803.102206114193</v>
      </c>
    </row>
    <row r="22" spans="1:12" x14ac:dyDescent="0.25">
      <c r="A22" s="3" t="s">
        <v>180</v>
      </c>
      <c r="C22" s="5">
        <f>C15+C16+C17+C18+C19+C20+C21</f>
        <v>-54954.80417588387</v>
      </c>
      <c r="D22" s="5">
        <f>D15+D16+D17+D18+D19+D20+D21</f>
        <v>-53520.35847499759</v>
      </c>
      <c r="E22" s="5">
        <f>E15+E16+E17+E18+E19+E20+E21</f>
        <v>-54774.98769528327</v>
      </c>
      <c r="F22" s="5">
        <f>F15+F16+F17+F18+F19+F20+F21</f>
        <v>-55870.48744918895</v>
      </c>
      <c r="G22" s="5">
        <f>G15+G16+G17+G18+G19+G20+G21</f>
        <v>-56987.897198172715</v>
      </c>
      <c r="H22" s="5">
        <f>H15+H16+H17+H18+H19+H20+H21</f>
        <v>-58127.65514213617</v>
      </c>
      <c r="I22" s="5">
        <f>I15+I16+I17+I18+I19+I20+I21</f>
        <v>-59290.2082449789</v>
      </c>
      <c r="J22" s="5">
        <f>J15+J16+J17+J18+J19+J20+J21</f>
        <v>-60476.01240987848</v>
      </c>
      <c r="K22" s="5">
        <f>K15+K16+K17+K18+K19+K20+K21</f>
        <v>-61685.53265807605</v>
      </c>
      <c r="L22" s="5">
        <f>L15+L16+L17+L18+L19+L20+L21</f>
        <v>-62919.24331123756</v>
      </c>
    </row>
    <row r="23" spans="1:12" x14ac:dyDescent="0.25">
      <c r="A23" s="3" t="s">
        <v>181</v>
      </c>
      <c r="C23" s="5">
        <f>C9+C14+C22</f>
        <v>191328.75132275058</v>
      </c>
      <c r="D23" s="5">
        <f>D9+D14+D22</f>
        <v>217803.10404566894</v>
      </c>
      <c r="E23" s="5">
        <f>E9+E14+E22</f>
        <v>232484.128029031</v>
      </c>
      <c r="F23" s="5">
        <f>F9+F14+F22</f>
        <v>237133.81058961165</v>
      </c>
      <c r="G23" s="5">
        <f>G9+G14+G22</f>
        <v>241876.48680140384</v>
      </c>
      <c r="H23" s="5">
        <f>H9+H14+H22</f>
        <v>246714.01653743203</v>
      </c>
      <c r="I23" s="5">
        <f>I9+I14+I22</f>
        <v>251648.29686818062</v>
      </c>
      <c r="J23" s="5">
        <f>J9+J14+J22</f>
        <v>256681.26280554428</v>
      </c>
      <c r="K23" s="5">
        <f>K9+K14+K22</f>
        <v>261814.88806165516</v>
      </c>
      <c r="L23" s="5">
        <f>L9+L14+L22</f>
        <v>267051.1858228882</v>
      </c>
    </row>
    <row r="24" spans="1:12" x14ac:dyDescent="0.25">
      <c r="A24" t="s">
        <v>182</v>
      </c>
      <c r="C24" s="5">
        <f>-C9*mgmt_pct</f>
        <v>-56146.22060516667</v>
      </c>
      <c r="D24" s="5">
        <f>-D9*mgmt_pct</f>
        <v>-61434.23030205219</v>
      </c>
      <c r="E24" s="5">
        <f>-E9*mgmt_pct</f>
        <v>-65042.449730742264</v>
      </c>
      <c r="F24" s="5">
        <f>-F9*mgmt_pct</f>
        <v>-66343.29872535712</v>
      </c>
      <c r="G24" s="5">
        <f>-G9*mgmt_pct</f>
        <v>-67670.16469986425</v>
      </c>
      <c r="H24" s="5">
        <f>-H9*mgmt_pct</f>
        <v>-69023.56799386155</v>
      </c>
      <c r="I24" s="5">
        <f>-I9*mgmt_pct</f>
        <v>-70404.03935373879</v>
      </c>
      <c r="J24" s="5">
        <f>-J9*mgmt_pct</f>
        <v>-71812.12014081355</v>
      </c>
      <c r="K24" s="5">
        <f>-K9*mgmt_pct</f>
        <v>-73248.36254362983</v>
      </c>
      <c r="L24" s="5">
        <f>-L9*mgmt_pct</f>
        <v>-74713.32979450242</v>
      </c>
    </row>
    <row r="25" spans="1:12" x14ac:dyDescent="0.25">
      <c r="A25" s="3" t="s">
        <v>183</v>
      </c>
      <c r="C25" s="5">
        <f>C24</f>
        <v>-56146.22060516667</v>
      </c>
      <c r="D25" s="5">
        <f>D24</f>
        <v>-61434.23030205219</v>
      </c>
      <c r="E25" s="5">
        <f>E24</f>
        <v>-65042.449730742264</v>
      </c>
      <c r="F25" s="5">
        <f>F24</f>
        <v>-66343.29872535712</v>
      </c>
      <c r="G25" s="5">
        <f>G24</f>
        <v>-67670.16469986425</v>
      </c>
      <c r="H25" s="5">
        <f>H24</f>
        <v>-69023.56799386155</v>
      </c>
      <c r="I25" s="5">
        <f>I24</f>
        <v>-70404.03935373879</v>
      </c>
      <c r="J25" s="5">
        <f>J24</f>
        <v>-71812.12014081355</v>
      </c>
      <c r="K25" s="5">
        <f>K24</f>
        <v>-73248.36254362983</v>
      </c>
      <c r="L25" s="5">
        <f>L24</f>
        <v>-74713.32979450242</v>
      </c>
    </row>
    <row r="26" spans="1:12" x14ac:dyDescent="0.25">
      <c r="A26" s="3" t="s">
        <v>184</v>
      </c>
      <c r="C26" s="5">
        <f>C23+C25</f>
        <v>135182.5307175839</v>
      </c>
      <c r="D26" s="5">
        <f>D23+D25</f>
        <v>156368.87374361674</v>
      </c>
      <c r="E26" s="5">
        <f>E23+E25</f>
        <v>167441.67829828875</v>
      </c>
      <c r="F26" s="5">
        <f>F23+F25</f>
        <v>170790.5118642545</v>
      </c>
      <c r="G26" s="5">
        <f>G23+G25</f>
        <v>174206.32210153958</v>
      </c>
      <c r="H26" s="5">
        <f>H23+H25</f>
        <v>177690.44854357047</v>
      </c>
      <c r="I26" s="5">
        <f>I23+I25</f>
        <v>181244.25751444182</v>
      </c>
      <c r="J26" s="5">
        <f>J23+J25</f>
        <v>184869.14266473072</v>
      </c>
      <c r="K26" s="5">
        <f>K23+K25</f>
        <v>188566.52551802533</v>
      </c>
      <c r="L26" s="5">
        <f>L23+L25</f>
        <v>192337.85602838578</v>
      </c>
    </row>
    <row r="27" spans="1:12" x14ac:dyDescent="0.25">
      <c r="A27" t="s">
        <v>185</v>
      </c>
      <c r="C27" s="5">
        <f>-ibi_a*C35</f>
        <v>-3900</v>
      </c>
      <c r="D27" s="5">
        <f>-ibi_a*D35</f>
        <v>-3978</v>
      </c>
      <c r="E27" s="5">
        <f>-ibi_a*E35</f>
        <v>-4057.56</v>
      </c>
      <c r="F27" s="5">
        <f>-ibi_a*F35</f>
        <v>-4138.711200000001</v>
      </c>
      <c r="G27" s="5">
        <f>-ibi_a*G35</f>
        <v>-4221.4854239999995</v>
      </c>
      <c r="H27" s="5">
        <f>-ibi_a*H35</f>
        <v>-4305.9151324800005</v>
      </c>
      <c r="I27" s="5">
        <f>-ibi_a*I35</f>
        <v>-4392.033435129601</v>
      </c>
      <c r="J27" s="5">
        <f>-ibi_a*J35</f>
        <v>-4479.874103832192</v>
      </c>
      <c r="K27" s="5">
        <f>-ibi_a*K35</f>
        <v>-4569.4715859088365</v>
      </c>
      <c r="L27" s="5">
        <f>-ibi_a*L35</f>
        <v>-4660.861017627013</v>
      </c>
    </row>
    <row r="28" spans="1:12" x14ac:dyDescent="0.25">
      <c r="A28" t="s">
        <v>186</v>
      </c>
      <c r="C28" s="5">
        <f>-cost_unit_n*12*ins_m*C35</f>
        <v>-2520</v>
      </c>
      <c r="D28" s="5">
        <f>-cost_unit_n*12*ins_m*D35</f>
        <v>-2570.4</v>
      </c>
      <c r="E28" s="5">
        <f>-cost_unit_n*12*ins_m*E35</f>
        <v>-2621.808</v>
      </c>
      <c r="F28" s="5">
        <f>-cost_unit_n*12*ins_m*F35</f>
        <v>-2674.24416</v>
      </c>
      <c r="G28" s="5">
        <f>-cost_unit_n*12*ins_m*G35</f>
        <v>-2727.7290432</v>
      </c>
      <c r="H28" s="5">
        <f>-cost_unit_n*12*ins_m*H35</f>
        <v>-2782.283624064</v>
      </c>
      <c r="I28" s="5">
        <f>-cost_unit_n*12*ins_m*I35</f>
        <v>-2837.92929654528</v>
      </c>
      <c r="J28" s="5">
        <f>-cost_unit_n*12*ins_m*J35</f>
        <v>-2894.6878824761857</v>
      </c>
      <c r="K28" s="5">
        <f>-cost_unit_n*12*ins_m*K35</f>
        <v>-2952.58164012571</v>
      </c>
      <c r="L28" s="5">
        <f>-cost_unit_n*12*ins_m*L35</f>
        <v>-3011.633272928224</v>
      </c>
    </row>
    <row r="29" spans="1:12" x14ac:dyDescent="0.25">
      <c r="A29" s="3" t="s">
        <v>187</v>
      </c>
      <c r="C29" s="5">
        <f>C27+C28</f>
        <v>-6420</v>
      </c>
      <c r="D29" s="5">
        <f>D27+D28</f>
        <v>-6548.4</v>
      </c>
      <c r="E29" s="5">
        <f>E27+E28</f>
        <v>-6679.368</v>
      </c>
      <c r="F29" s="5">
        <f>F27+F28</f>
        <v>-6812.955360000001</v>
      </c>
      <c r="G29" s="5">
        <f>G27+G28</f>
        <v>-6949.2144671999995</v>
      </c>
      <c r="H29" s="5">
        <f>H27+H28</f>
        <v>-7088.198756544</v>
      </c>
      <c r="I29" s="5">
        <f>I27+I28</f>
        <v>-7229.962731674881</v>
      </c>
      <c r="J29" s="5">
        <f>J27+J28</f>
        <v>-7374.5619863083775</v>
      </c>
      <c r="K29" s="5">
        <f>K27+K28</f>
        <v>-7522.053226034546</v>
      </c>
      <c r="L29" s="5">
        <f>L27+L28</f>
        <v>-7672.494290555237</v>
      </c>
    </row>
    <row r="30" spans="1:12" x14ac:dyDescent="0.25">
      <c r="A30" s="3" t="s">
        <v>188</v>
      </c>
      <c r="C30" s="5">
        <f>C26+C29</f>
        <v>128762.5307175839</v>
      </c>
      <c r="D30" s="5">
        <f>D26+D29</f>
        <v>149820.47374361675</v>
      </c>
      <c r="E30" s="5">
        <f>E26+E29</f>
        <v>160762.31029828876</v>
      </c>
      <c r="F30" s="5">
        <f>F26+F29</f>
        <v>163977.55650425452</v>
      </c>
      <c r="G30" s="5">
        <f>G26+G29</f>
        <v>167257.1076343396</v>
      </c>
      <c r="H30" s="5">
        <f>H26+H29</f>
        <v>170602.24978702646</v>
      </c>
      <c r="I30" s="5">
        <f>I26+I29</f>
        <v>174014.29478276696</v>
      </c>
      <c r="J30" s="5">
        <f>J26+J29</f>
        <v>177494.58067842235</v>
      </c>
      <c r="K30" s="5">
        <f>K26+K29</f>
        <v>181044.4722919908</v>
      </c>
      <c r="L30" s="5">
        <f>L26+L29</f>
        <v>184665.36173783054</v>
      </c>
    </row>
    <row r="31" spans="1:12" x14ac:dyDescent="0.25">
      <c r="A31" t="s">
        <v>189</v>
      </c>
      <c r="C31" s="5">
        <f>-C9*ffe_pct</f>
        <v>-9055.8420330914</v>
      </c>
      <c r="D31" s="5">
        <f>-D9*ffe_pct</f>
        <v>-9908.746822911644</v>
      </c>
      <c r="E31" s="5">
        <f>-E9*ffe_pct</f>
        <v>-10490.717698506818</v>
      </c>
      <c r="F31" s="5">
        <f>-F9*ffe_pct</f>
        <v>-10700.532052476956</v>
      </c>
      <c r="G31" s="5">
        <f>-G9*ffe_pct</f>
        <v>-10914.542693526493</v>
      </c>
      <c r="H31" s="5">
        <f>-H9*ffe_pct</f>
        <v>-11132.833547397026</v>
      </c>
      <c r="I31" s="5">
        <f>-I9*ffe_pct</f>
        <v>-11355.490218344967</v>
      </c>
      <c r="J31" s="5">
        <f>-J9*ffe_pct</f>
        <v>-11582.600022711864</v>
      </c>
      <c r="K31" s="5">
        <f>-K9*ffe_pct</f>
        <v>-11814.252023166102</v>
      </c>
      <c r="L31" s="5">
        <f>-L9*ffe_pct</f>
        <v>-12050.537063629425</v>
      </c>
    </row>
    <row r="32" spans="1:12" x14ac:dyDescent="0.25">
      <c r="A32" s="3" t="s">
        <v>190</v>
      </c>
      <c r="C32" s="5">
        <f>C30+C31</f>
        <v>119706.68868449249</v>
      </c>
      <c r="D32" s="5">
        <f>D30+D31</f>
        <v>139911.7269207051</v>
      </c>
      <c r="E32" s="5">
        <f>E30+E31</f>
        <v>150271.59259978196</v>
      </c>
      <c r="F32" s="5">
        <f>F30+F31</f>
        <v>153277.02445177757</v>
      </c>
      <c r="G32" s="5">
        <f>G30+G31</f>
        <v>156342.56494081308</v>
      </c>
      <c r="H32" s="5">
        <f>H30+H31</f>
        <v>159469.41623962944</v>
      </c>
      <c r="I32" s="5">
        <f>I30+I31</f>
        <v>162658.804564422</v>
      </c>
      <c r="J32" s="5">
        <f>J30+J31</f>
        <v>165911.98065571045</v>
      </c>
      <c r="K32" s="5">
        <f>K30+K31</f>
        <v>169230.22026882466</v>
      </c>
      <c r="L32" s="5">
        <f>L30+L31</f>
        <v>172614.82467420114</v>
      </c>
    </row>
    <row r="34" spans="1:12" x14ac:dyDescent="0.25">
      <c r="A34" t="s">
        <v>191</v>
      </c>
      <c r="C34" s="5">
        <f>C5+C6+C10+C11+C12+C13</f>
        <v>246283.5554986344</v>
      </c>
      <c r="D34" s="5">
        <f>D5+D6+D10+D11+D12+D13</f>
        <v>271323.46252066654</v>
      </c>
      <c r="E34" s="5">
        <f>E5+E6+E10+E11+E12+E13</f>
        <v>287259.1157243143</v>
      </c>
      <c r="F34" s="5">
        <f>F5+F6+F10+F11+F12+F13</f>
        <v>293004.2980388006</v>
      </c>
      <c r="G34" s="5">
        <f>G5+G6+G10+G11+G12+G13</f>
        <v>298864.38399957656</v>
      </c>
      <c r="H34" s="5">
        <f>H5+H6+H10+H11+H12+H13</f>
        <v>304841.6716795682</v>
      </c>
      <c r="I34" s="5">
        <f>I5+I6+I10+I11+I12+I13</f>
        <v>310938.50511315954</v>
      </c>
      <c r="J34" s="5">
        <f>J5+J6+J10+J11+J12+J13</f>
        <v>317157.27521542273</v>
      </c>
      <c r="K34" s="5">
        <f>K5+K6+K10+K11+K12+K13</f>
        <v>323500.4207197312</v>
      </c>
      <c r="L34" s="5">
        <f>L5+L6+L10+L11+L12+L13</f>
        <v>329970.4291341258</v>
      </c>
    </row>
    <row r="35" spans="1:12" x14ac:dyDescent="0.25">
      <c r="A35" t="s">
        <v>192</v>
      </c>
      <c r="C35" s="13">
        <f>(1+cost_infl)^0</f>
        <v>1</v>
      </c>
      <c r="D35" s="13">
        <f>(1+cost_infl)^1</f>
        <v>1.02</v>
      </c>
      <c r="E35" s="13">
        <f>(1+cost_infl)^2</f>
        <v>1.0404</v>
      </c>
      <c r="F35" s="13">
        <f>(1+cost_infl)^3</f>
        <v>1.0612080000000002</v>
      </c>
      <c r="G35" s="13">
        <f>(1+cost_infl)^4</f>
        <v>1.08243216</v>
      </c>
      <c r="H35" s="13">
        <f>(1+cost_infl)^5</f>
        <v>1.1040808032</v>
      </c>
      <c r="I35" s="13">
        <f>(1+cost_infl)^6</f>
        <v>1.126162419264</v>
      </c>
      <c r="J35" s="13">
        <f>(1+cost_infl)^7</f>
        <v>1.14868566764928</v>
      </c>
      <c r="K35" s="13">
        <f>(1+cost_infl)^8</f>
        <v>1.1716593810022657</v>
      </c>
      <c r="L35" s="13">
        <f>(1+cost_infl)^9</f>
        <v>1.195092568622311</v>
      </c>
    </row>
    <row r="36" spans="1:12" x14ac:dyDescent="0.25">
      <c r="A36" t="s">
        <v>193</v>
      </c>
      <c r="C36" s="5">
        <f>C34+C15+C16+C17+C18+C24+C27+C28+C31+C8+C7</f>
        <v>138178.6886844925</v>
      </c>
      <c r="D36" s="5">
        <f>D34+D15+D16+D17+D18+D24+D27+D28+D31+D8+D7</f>
        <v>155897.16692070512</v>
      </c>
      <c r="E36" s="5">
        <f>E34+E15+E16+E17+E18+E24+E27+E28+E31+E8+E7</f>
        <v>166576.74139978195</v>
      </c>
      <c r="F36" s="5">
        <f>F34+F15+F16+F17+F18+F24+F27+F28+F31+F8+F7</f>
        <v>169908.27622777756</v>
      </c>
      <c r="G36" s="5">
        <f>G34+G15+G16+G17+G18+G24+G27+G28+G31+G8+G7</f>
        <v>173306.44175233308</v>
      </c>
      <c r="H36" s="5">
        <f>H34+H15+H16+H17+H18+H24+H27+H28+H31+H8+H7</f>
        <v>176772.57058737986</v>
      </c>
      <c r="I36" s="5">
        <f>I34+I15+I16+I17+I18+I24+I27+I28+I31+I8+I7</f>
        <v>180308.0219991274</v>
      </c>
      <c r="J36" s="5">
        <f>J34+J15+J16+J17+J18+J24+J27+J28+J31+J8+J7</f>
        <v>183914.18243910995</v>
      </c>
      <c r="K36" s="5">
        <f>K34+K15+K16+K17+K18+K24+K27+K28+K31+K8+K7</f>
        <v>187592.4660878922</v>
      </c>
      <c r="L36" s="5">
        <f>L34+L15+L16+L17+L18+L24+L27+L28+L31+L8+L7</f>
        <v>191344.31540965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12" width="12" customWidth="1"/>
  </cols>
  <sheetData>
    <row r="1" spans="1:1" x14ac:dyDescent="0.25">
      <c r="A1" s="2" t="s">
        <v>194</v>
      </c>
    </row>
    <row r="3" spans="1:2" x14ac:dyDescent="0.25">
      <c r="A3" t="s">
        <v>13</v>
      </c>
      <c r="B3" s="5">
        <f>ltv*tpc</f>
        <v>899387.7551020408</v>
      </c>
    </row>
    <row r="4" spans="1:2" x14ac:dyDescent="0.25">
      <c r="A4" t="s">
        <v>15</v>
      </c>
      <c r="B4" s="5">
        <f>apertura_pct*B3+ajdm_pct*B3+tasacion_u*units_c+notaria_pct*B3+registro_pct*B3+gestoria_f</f>
        <v>22687.448979591838</v>
      </c>
    </row>
    <row r="5" spans="1:2" x14ac:dyDescent="0.25">
      <c r="A5" t="s">
        <v>16</v>
      </c>
      <c r="B5" s="5">
        <f>tpc-B3+B4</f>
        <v>922075.2040816327</v>
      </c>
    </row>
    <row r="6" spans="1:2" x14ac:dyDescent="0.25">
      <c r="A6" t="s">
        <v>19</v>
      </c>
      <c r="B6" s="5">
        <f>B5*(1-gp_pct)</f>
        <v>737660.1632653062</v>
      </c>
    </row>
    <row r="7" spans="1:2" x14ac:dyDescent="0.25">
      <c r="A7" t="s">
        <v>20</v>
      </c>
      <c r="B7" s="5">
        <f>B5*gp_pct</f>
        <v>184415.04081632654</v>
      </c>
    </row>
    <row r="8" spans="1:2" x14ac:dyDescent="0.25">
      <c r="A8" t="s">
        <v>21</v>
      </c>
      <c r="B8" s="5">
        <f>-PMT(rate/12,term*12,B3)*12</f>
        <v>73241.27892579207</v>
      </c>
    </row>
    <row r="10" spans="3:12" x14ac:dyDescent="0.25">
      <c r="C10" s="3" t="s">
        <v>152</v>
      </c>
      <c r="D10" s="3" t="s">
        <v>153</v>
      </c>
      <c r="E10" s="3" t="s">
        <v>154</v>
      </c>
      <c r="F10" s="3" t="s">
        <v>155</v>
      </c>
      <c r="G10" s="3" t="s">
        <v>156</v>
      </c>
      <c r="H10" s="3" t="s">
        <v>157</v>
      </c>
      <c r="I10" s="3" t="s">
        <v>158</v>
      </c>
      <c r="J10" s="3" t="s">
        <v>159</v>
      </c>
      <c r="K10" s="3" t="s">
        <v>160</v>
      </c>
      <c r="L10" s="3" t="s">
        <v>161</v>
      </c>
    </row>
    <row r="11" spans="1:12" x14ac:dyDescent="0.25">
      <c r="A11" t="s">
        <v>190</v>
      </c>
      <c r="C11" s="5">
        <f>'P&amp;L'!C32</f>
        <v>119706.68868449249</v>
      </c>
      <c r="D11" s="5">
        <f>'P&amp;L'!D32</f>
        <v>139911.7269207051</v>
      </c>
      <c r="E11" s="5">
        <f>'P&amp;L'!E32</f>
        <v>150271.59259978196</v>
      </c>
      <c r="F11" s="5">
        <f>'P&amp;L'!F32</f>
        <v>153277.02445177757</v>
      </c>
      <c r="G11" s="5">
        <f>'P&amp;L'!G32</f>
        <v>156342.56494081308</v>
      </c>
      <c r="H11" s="5">
        <f>'P&amp;L'!H32</f>
        <v>159469.41623962944</v>
      </c>
      <c r="I11" s="5">
        <f>'P&amp;L'!I32</f>
        <v>162658.804564422</v>
      </c>
      <c r="J11" s="5">
        <f>'P&amp;L'!J32</f>
        <v>165911.98065571045</v>
      </c>
      <c r="K11" s="5">
        <f>'P&amp;L'!K32</f>
        <v>169230.22026882466</v>
      </c>
      <c r="L11" s="5">
        <f>'P&amp;L'!L32</f>
        <v>172614.82467420114</v>
      </c>
    </row>
    <row r="12" spans="1:12" x14ac:dyDescent="0.25">
      <c r="A12" t="s">
        <v>195</v>
      </c>
      <c r="C12" s="5">
        <f>IF(B$3=0,0,CUMIPMT(rate/12,term*12,B$3,1,12,0))</f>
        <v>-24117.06427020717</v>
      </c>
      <c r="D12" s="5">
        <f>IF(B$3=0,0,CUMIPMT(rate/12,term*12,B$3,13,24,0))</f>
        <v>-22748.9904561984</v>
      </c>
      <c r="E12" s="5">
        <f>IF(B$3=0,0,CUMIPMT(rate/12,term*12,B$3,25,36,0))</f>
        <v>-21342.8167769053</v>
      </c>
      <c r="F12" s="5">
        <f>IF(B$3=0,0,CUMIPMT(rate/12,term*12,B$3,37,48,0))</f>
        <v>-19897.482178662605</v>
      </c>
      <c r="G12" s="5">
        <f>IF(B$3=0,0,CUMIPMT(rate/12,term*12,B$3,49,60,0))</f>
        <v>-18411.89605822868</v>
      </c>
      <c r="H12" s="5">
        <f>IF(B$3=0,0,CUMIPMT(rate/12,term*12,B$3,61,72,0))</f>
        <v>-16884.93743985112</v>
      </c>
      <c r="I12" s="5">
        <f>IF(B$3=0,0,CUMIPMT(rate/12,term*12,B$3,73,84,0))</f>
        <v>-15315.45412941439</v>
      </c>
      <c r="J12" s="5">
        <f>IF(B$3=0,0,CUMIPMT(rate/12,term*12,B$3,85,96,0))</f>
        <v>-13702.261845030978</v>
      </c>
      <c r="K12" s="5">
        <f>IF(B$3=0,0,CUMIPMT(rate/12,term*12,B$3,97,108,0))</f>
        <v>-12044.143323420178</v>
      </c>
      <c r="L12" s="5">
        <f>IF(B$3=0,0,CUMIPMT(rate/12,term*12,B$3,109,120,0))</f>
        <v>-10339.847401400175</v>
      </c>
    </row>
    <row r="13" spans="1:12" x14ac:dyDescent="0.25">
      <c r="A13" t="s">
        <v>196</v>
      </c>
      <c r="C13" s="5">
        <f>IF(B$3=0,0,CUMPRINC(rate/12,term*12,B$3,1,12,0))</f>
        <v>-49124.214655584896</v>
      </c>
      <c r="D13" s="5">
        <f>IF(B$3=0,0,CUMPRINC(rate/12,term*12,B$3,13,24,0))</f>
        <v>-50492.28846959367</v>
      </c>
      <c r="E13" s="5">
        <f>IF(B$3=0,0,CUMPRINC(rate/12,term*12,B$3,25,36,0))</f>
        <v>-51898.46214888677</v>
      </c>
      <c r="F13" s="5">
        <f>IF(B$3=0,0,CUMPRINC(rate/12,term*12,B$3,37,48,0))</f>
        <v>-53343.79674712947</v>
      </c>
      <c r="G13" s="5">
        <f>IF(B$3=0,0,CUMPRINC(rate/12,term*12,B$3,49,60,0))</f>
        <v>-54829.38286756338</v>
      </c>
      <c r="H13" s="5">
        <f>IF(B$3=0,0,CUMPRINC(rate/12,term*12,B$3,61,72,0))</f>
        <v>-56356.341485940946</v>
      </c>
      <c r="I13" s="5">
        <f>IF(B$3=0,0,CUMPRINC(rate/12,term*12,B$3,73,84,0))</f>
        <v>-57925.824796377674</v>
      </c>
      <c r="J13" s="5">
        <f>IF(B$3=0,0,CUMPRINC(rate/12,term*12,B$3,85,96,0))</f>
        <v>-59539.01708076109</v>
      </c>
      <c r="K13" s="5">
        <f>IF(B$3=0,0,CUMPRINC(rate/12,term*12,B$3,97,108,0))</f>
        <v>-61197.13560237188</v>
      </c>
      <c r="L13" s="5">
        <f>IF(B$3=0,0,CUMPRINC(rate/12,term*12,B$3,109,120,0))</f>
        <v>-62901.43152439189</v>
      </c>
    </row>
    <row r="14" spans="1:12" x14ac:dyDescent="0.25">
      <c r="A14" t="s">
        <v>197</v>
      </c>
      <c r="C14" s="5">
        <f>C11+C12+C13</f>
        <v>46465.40975870043</v>
      </c>
      <c r="D14" s="5">
        <f>D11+D12+D13</f>
        <v>66670.44799491305</v>
      </c>
      <c r="E14" s="5">
        <f>E11+E12+E13</f>
        <v>77030.31367398989</v>
      </c>
      <c r="F14" s="5">
        <f>F11+F12+F13</f>
        <v>80035.74552598549</v>
      </c>
      <c r="G14" s="5">
        <f>G11+G12+G13</f>
        <v>83101.28601502103</v>
      </c>
      <c r="H14" s="5">
        <f>H11+H12+H13</f>
        <v>86228.13731383739</v>
      </c>
      <c r="I14" s="5">
        <f>I11+I12+I13</f>
        <v>89417.52563862992</v>
      </c>
      <c r="J14" s="5">
        <f>J11+J12+J13</f>
        <v>92670.7017299184</v>
      </c>
      <c r="K14" s="5">
        <f>K11+K12+K13</f>
        <v>95988.94134303261</v>
      </c>
      <c r="L14" s="5">
        <f>L11+L12+L13</f>
        <v>99373.54574840906</v>
      </c>
    </row>
    <row r="15" spans="1:12" x14ac:dyDescent="0.25">
      <c r="A15" t="s">
        <v>198</v>
      </c>
      <c r="C15" s="5">
        <f>MAX(0,C14)</f>
        <v>46465.40975870043</v>
      </c>
      <c r="D15" s="5">
        <f>MAX(0,D14)</f>
        <v>66670.44799491305</v>
      </c>
      <c r="E15" s="5">
        <f>MAX(0,E14)</f>
        <v>77030.31367398989</v>
      </c>
      <c r="F15" s="5">
        <f>MAX(0,F14)</f>
        <v>80035.74552598549</v>
      </c>
      <c r="G15" s="5">
        <f>MAX(0,G14)</f>
        <v>83101.28601502103</v>
      </c>
      <c r="H15" s="5">
        <f>MAX(0,H14)</f>
        <v>86228.13731383739</v>
      </c>
      <c r="I15" s="5">
        <f>MAX(0,I14)</f>
        <v>89417.52563862992</v>
      </c>
      <c r="J15" s="5">
        <f>MAX(0,J14)</f>
        <v>92670.7017299184</v>
      </c>
      <c r="K15" s="5">
        <f>MAX(0,K14)</f>
        <v>95988.94134303261</v>
      </c>
      <c r="L15" s="5">
        <f>MAX(0,L14)</f>
        <v>99373.54574840906</v>
      </c>
    </row>
    <row r="16" spans="1:12" x14ac:dyDescent="0.25">
      <c r="A16" t="s">
        <v>199</v>
      </c>
      <c r="C16" s="5">
        <f>796672.9763265307</f>
        <v>796672.9763265307</v>
      </c>
      <c r="D16" s="5">
        <f>820260.700401136</f>
        <v>820260.700401136</v>
      </c>
      <c r="E16" s="5">
        <f>828278.289365622</f>
        <v>828278.289365622</v>
      </c>
      <c r="F16" s="5">
        <f>827986.3615005447</f>
        <v>827986.3615005447</v>
      </c>
      <c r="G16" s="5">
        <f>825074.3862861369</f>
        <v>825074.3862861369</v>
      </c>
      <c r="H16" s="5">
        <f>819280.8260720497</f>
        <v>819280.8260720497</v>
      </c>
      <c r="I16" s="5">
        <f>810322.1815186582</f>
        <v>810322.1815186582</v>
      </c>
      <c r="J16" s="5">
        <f>797891.2138883747</f>
        <v>797891.2138883747</v>
      </c>
      <c r="K16" s="5">
        <f>781655.0247047947</f>
        <v>781655.0247047947</v>
      </c>
      <c r="L16" s="5">
        <f>761252.9813607987</f>
        <v>761252.9813607987</v>
      </c>
    </row>
    <row r="17" spans="1:12" x14ac:dyDescent="0.25">
      <c r="A17" t="s">
        <v>200</v>
      </c>
      <c r="C17" s="5">
        <f>826179.382857143</f>
        <v>826179.382857143</v>
      </c>
      <c r="D17" s="5">
        <f>883687.9016562046</f>
        <v>883687.9016562046</v>
      </c>
      <c r="E17" s="5">
        <f>929993.7284515072</f>
        <v>929993.7284515072</v>
      </c>
      <c r="F17" s="5">
        <f>972573.8148137934</f>
        <v>972573.8148137934</v>
      </c>
      <c r="G17" s="5">
        <f>1017570.6446001655</f>
        <v>1017570.6446001655</v>
      </c>
      <c r="H17" s="5">
        <f>1065220.3696827262</f>
        <v>1065220.3696827262</v>
      </c>
      <c r="I17" s="5">
        <f>1115786.4030114554</f>
        <v>1115786.4030114554</v>
      </c>
      <c r="J17" s="5">
        <f>1169562.668400618</f>
        <v>1169562.668400618</v>
      </c>
      <c r="K17" s="5">
        <f>1226877.2398586853</f>
        <v>1226877.2398586853</v>
      </c>
      <c r="L17" s="5">
        <f>1288096.4171983707</f>
        <v>1288096.4171983707</v>
      </c>
    </row>
    <row r="18" spans="1:12" x14ac:dyDescent="0.25">
      <c r="A18" t="s">
        <v>201</v>
      </c>
      <c r="C18" s="5">
        <f>0</f>
        <v>0</v>
      </c>
      <c r="D18" s="5">
        <f>C18+C22</f>
        <v>37172.32780696035</v>
      </c>
      <c r="E18" s="5">
        <f>D18+D22</f>
        <v>90508.68620289079</v>
      </c>
      <c r="F18" s="5">
        <f>E18+E22</f>
        <v>152132.93714208272</v>
      </c>
      <c r="G18" s="5">
        <f>F18+F22</f>
        <v>216161.5335628711</v>
      </c>
      <c r="H18" s="5">
        <f>G18+G22</f>
        <v>282642.56237488793</v>
      </c>
      <c r="I18" s="5">
        <f>H18+H22</f>
        <v>351625.0722259579</v>
      </c>
      <c r="J18" s="5">
        <f>I18+I22</f>
        <v>423159.0927368618</v>
      </c>
      <c r="K18" s="5">
        <f>J18+J22</f>
        <v>497295.6541207965</v>
      </c>
      <c r="L18" s="5">
        <f>K18+K22</f>
        <v>574086.8071952226</v>
      </c>
    </row>
    <row r="19" spans="1:12" x14ac:dyDescent="0.25">
      <c r="A19" t="s">
        <v>202</v>
      </c>
      <c r="C19" s="5">
        <f>46465.40975870043</f>
        <v>46465.40975870043</v>
      </c>
      <c r="D19" s="5">
        <f>66670.44799491305</f>
        <v>66670.44799491305</v>
      </c>
      <c r="E19" s="5">
        <f>77030.31367398989</f>
        <v>77030.31367398989</v>
      </c>
      <c r="F19" s="5">
        <f>80035.74552598549</f>
        <v>80035.74552598549</v>
      </c>
      <c r="G19" s="5">
        <f>83101.28601502103</f>
        <v>83101.28601502103</v>
      </c>
      <c r="H19" s="5">
        <f>86228.13731383739</f>
        <v>86228.13731383739</v>
      </c>
      <c r="I19" s="5">
        <f>89417.52563862992</f>
        <v>89417.52563862992</v>
      </c>
      <c r="J19" s="5">
        <f>92670.7017299184</f>
        <v>92670.7017299184</v>
      </c>
      <c r="K19" s="5">
        <f>95988.94134303261</f>
        <v>95988.94134303261</v>
      </c>
      <c r="L19" s="5">
        <f>99373.54574840906</f>
        <v>99373.54574840906</v>
      </c>
    </row>
    <row r="20" spans="1:12" x14ac:dyDescent="0.25">
      <c r="A20" t="s">
        <v>203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  <c r="J20" s="5">
        <f>0</f>
        <v>0</v>
      </c>
      <c r="K20" s="5">
        <f>0</f>
        <v>0</v>
      </c>
      <c r="L20" s="5">
        <f>0</f>
        <v>0</v>
      </c>
    </row>
    <row r="21" spans="1:12" x14ac:dyDescent="0.25">
      <c r="A21" t="s">
        <v>204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  <c r="J21" s="5">
        <f>0</f>
        <v>0</v>
      </c>
      <c r="K21" s="5">
        <f>0</f>
        <v>0</v>
      </c>
      <c r="L21" s="5">
        <f>0</f>
        <v>0</v>
      </c>
    </row>
    <row r="22" spans="1:12" x14ac:dyDescent="0.25">
      <c r="A22" t="s">
        <v>205</v>
      </c>
      <c r="C22" s="5">
        <f>37172.32780696035</f>
        <v>37172.32780696035</v>
      </c>
      <c r="D22" s="5">
        <f>53336.35839593044</f>
        <v>53336.35839593044</v>
      </c>
      <c r="E22" s="5">
        <f>61624.250939191916</f>
        <v>61624.250939191916</v>
      </c>
      <c r="F22" s="5">
        <f>64028.596420788395</f>
        <v>64028.596420788395</v>
      </c>
      <c r="G22" s="5">
        <f>66481.02881201683</f>
        <v>66481.02881201683</v>
      </c>
      <c r="H22" s="5">
        <f>68982.50985106992</f>
        <v>68982.50985106992</v>
      </c>
      <c r="I22" s="5">
        <f>71534.02051090394</f>
        <v>71534.02051090394</v>
      </c>
      <c r="J22" s="5">
        <f>74136.56138393472</f>
        <v>74136.56138393472</v>
      </c>
      <c r="K22" s="5">
        <f>76791.1530744261</f>
        <v>76791.1530744261</v>
      </c>
      <c r="L22" s="5">
        <f>79498.83659872726</f>
        <v>79498.83659872726</v>
      </c>
    </row>
    <row r="23" spans="1:12" x14ac:dyDescent="0.25">
      <c r="A23" t="s">
        <v>206</v>
      </c>
      <c r="C23" s="5">
        <f>9293.081951740081</f>
        <v>9293.081951740081</v>
      </c>
      <c r="D23" s="5">
        <f>13334.08959898261</f>
        <v>13334.08959898261</v>
      </c>
      <c r="E23" s="5">
        <f>15406.062734797975</f>
        <v>15406.062734797975</v>
      </c>
      <c r="F23" s="5">
        <f>16007.149105197095</f>
        <v>16007.149105197095</v>
      </c>
      <c r="G23" s="5">
        <f>16620.257203004207</f>
        <v>16620.257203004207</v>
      </c>
      <c r="H23" s="5">
        <f>17245.627462767472</f>
        <v>17245.627462767472</v>
      </c>
      <c r="I23" s="5">
        <f>17883.505127725977</f>
        <v>17883.505127725977</v>
      </c>
      <c r="J23" s="5">
        <f>18534.140345983673</f>
        <v>18534.140345983673</v>
      </c>
      <c r="K23" s="5">
        <f>19197.788268606513</f>
        <v>19197.788268606513</v>
      </c>
      <c r="L23" s="5">
        <f>19874.709149681803</f>
        <v>19874.709149681803</v>
      </c>
    </row>
    <row r="25" spans="1:2" x14ac:dyDescent="0.25">
      <c r="A25" t="s">
        <v>207</v>
      </c>
      <c r="B25" s="5">
        <f>'P&amp;L'!L32</f>
        <v>172614.82467420114</v>
      </c>
    </row>
    <row r="26" spans="1:2" x14ac:dyDescent="0.25">
      <c r="A26" t="s">
        <v>208</v>
      </c>
      <c r="B26" s="5">
        <f>B25/cap</f>
        <v>2465926.0667743017</v>
      </c>
    </row>
    <row r="27" spans="1:2" x14ac:dyDescent="0.25">
      <c r="A27" t="s">
        <v>27</v>
      </c>
      <c r="B27" s="5">
        <f>-B26*sell_pct</f>
        <v>-49318.52133548603</v>
      </c>
    </row>
    <row r="28" spans="1:2" x14ac:dyDescent="0.25">
      <c r="A28" t="s">
        <v>209</v>
      </c>
      <c r="B28" s="5">
        <f>IF(B$3=0,0,B$3+CUMPRINC(rate/12,term*12,B$3,1,120,0))</f>
        <v>341779.8597234391</v>
      </c>
    </row>
    <row r="29" spans="1:2" x14ac:dyDescent="0.25">
      <c r="A29" t="s">
        <v>210</v>
      </c>
      <c r="B29" s="5">
        <f>B26+B27-B28</f>
        <v>2074827.6857153769</v>
      </c>
    </row>
    <row r="30" spans="1:2" x14ac:dyDescent="0.25">
      <c r="A30" t="s">
        <v>211</v>
      </c>
      <c r="B30" s="5">
        <f>MAX(0,B29-eq_total)</f>
        <v>1152752.4816337442</v>
      </c>
    </row>
    <row r="31" spans="1:2" x14ac:dyDescent="0.25">
      <c r="A31" t="s">
        <v>212</v>
      </c>
      <c r="B31" s="5">
        <f>1490598.49559654</f>
        <v>1490598.49559654</v>
      </c>
    </row>
    <row r="32" spans="1:2" x14ac:dyDescent="0.25">
      <c r="A32" t="s">
        <v>213</v>
      </c>
      <c r="B32" s="5">
        <f>584229.1901188369</f>
        <v>584229.1901188369</v>
      </c>
    </row>
    <row r="34" spans="1:12" x14ac:dyDescent="0.25">
      <c r="A34" t="s">
        <v>214</v>
      </c>
      <c r="B34" s="5">
        <f>-eq_lp</f>
        <v>-737660.1632653062</v>
      </c>
      <c r="C34" s="5">
        <f>C22</f>
        <v>37172.32780696035</v>
      </c>
      <c r="D34" s="5">
        <f>D22</f>
        <v>53336.35839593044</v>
      </c>
      <c r="E34" s="5">
        <f>E22</f>
        <v>61624.250939191916</v>
      </c>
      <c r="F34" s="5">
        <f>F22</f>
        <v>64028.596420788395</v>
      </c>
      <c r="G34" s="5">
        <f>G22</f>
        <v>66481.02881201683</v>
      </c>
      <c r="H34" s="5">
        <f>H22</f>
        <v>68982.50985106992</v>
      </c>
      <c r="I34" s="5">
        <f>I22</f>
        <v>71534.02051090394</v>
      </c>
      <c r="J34" s="5">
        <f>J22</f>
        <v>74136.56138393472</v>
      </c>
      <c r="K34" s="5">
        <f>K22</f>
        <v>76791.1530744261</v>
      </c>
      <c r="L34" s="5">
        <f>L22+B31</f>
        <v>1570097.332195267</v>
      </c>
    </row>
    <row r="36" spans="1:2" x14ac:dyDescent="0.25">
      <c r="A36" s="3" t="s">
        <v>31</v>
      </c>
      <c r="B36" s="6">
        <f>IRR(B34:L34)</f>
        <v>0.1366278761050339</v>
      </c>
    </row>
    <row r="37" spans="1:2" x14ac:dyDescent="0.25">
      <c r="A37" s="3" t="s">
        <v>215</v>
      </c>
      <c r="B37" s="5">
        <f>SUM(C22:L22)+B31</f>
        <v>2144184.13939049</v>
      </c>
    </row>
    <row r="38" spans="1:2" x14ac:dyDescent="0.25">
      <c r="A38" s="3" t="s">
        <v>216</v>
      </c>
      <c r="B38" s="7">
        <f>B37/eq_lp</f>
        <v>2.9067370669701122</v>
      </c>
    </row>
    <row r="39" spans="1:2" x14ac:dyDescent="0.25">
      <c r="A39" s="3" t="s">
        <v>217</v>
      </c>
      <c r="B39" s="6">
        <f>'P&amp;L'!E32/tpc</f>
        <v>0.08354104875640249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12" width="12" customWidth="1"/>
  </cols>
  <sheetData>
    <row r="1" spans="1:1" x14ac:dyDescent="0.25">
      <c r="A1" s="2" t="s">
        <v>218</v>
      </c>
    </row>
    <row r="3" spans="1:1" x14ac:dyDescent="0.25">
      <c r="A3" s="3" t="s">
        <v>219</v>
      </c>
    </row>
    <row r="4" spans="2:12" x14ac:dyDescent="0.25">
      <c r="B4" s="3" t="s">
        <v>220</v>
      </c>
      <c r="C4" s="3" t="s">
        <v>152</v>
      </c>
      <c r="D4" s="3" t="s">
        <v>153</v>
      </c>
      <c r="E4" s="3" t="s">
        <v>154</v>
      </c>
      <c r="F4" s="3" t="s">
        <v>155</v>
      </c>
      <c r="G4" s="3" t="s">
        <v>156</v>
      </c>
      <c r="H4" s="3" t="s">
        <v>157</v>
      </c>
      <c r="I4" s="3" t="s">
        <v>158</v>
      </c>
      <c r="J4" s="3" t="s">
        <v>159</v>
      </c>
      <c r="K4" s="3" t="s">
        <v>160</v>
      </c>
      <c r="L4" s="3" t="s">
        <v>161</v>
      </c>
    </row>
    <row r="5" spans="1:2" x14ac:dyDescent="0.25">
      <c r="A5" t="s">
        <v>221</v>
      </c>
      <c r="B5" s="5">
        <f>-IF(Assumptions!$B$47&gt;0,tpc,cost_base)</f>
        <v>-1780606.0606060605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-56343</v>
      </c>
    </row>
    <row r="8" spans="1:2" x14ac:dyDescent="0.25">
      <c r="A8" t="s">
        <v>222</v>
      </c>
      <c r="B8" s="5">
        <f>Assumptions!$B$47*tpc</f>
        <v>0</v>
      </c>
    </row>
    <row r="9" spans="1:2" x14ac:dyDescent="0.25">
      <c r="A9" t="s">
        <v>223</v>
      </c>
      <c r="B9" s="5">
        <f>(-(B5+B8+B6)-B7)*(1-gp_pct)</f>
        <v>1469559.2484848485</v>
      </c>
    </row>
    <row r="10" spans="1:2" x14ac:dyDescent="0.25">
      <c r="A10" t="s">
        <v>224</v>
      </c>
      <c r="B10" s="5">
        <f>(-(B5+B8+B6)-B7)*gp_pct</f>
        <v>367389.81212121213</v>
      </c>
    </row>
    <row r="11" spans="1:2" x14ac:dyDescent="0.25">
      <c r="A11" s="3" t="s">
        <v>225</v>
      </c>
      <c r="B11" s="5">
        <f>SUM(B5:B10)</f>
        <v>0</v>
      </c>
    </row>
    <row r="13" spans="1:12" x14ac:dyDescent="0.25">
      <c r="A13" t="s">
        <v>190</v>
      </c>
      <c r="C13" s="5">
        <f>'P&amp;L'!C32</f>
        <v>119706.68868449249</v>
      </c>
      <c r="D13" s="5">
        <f>'P&amp;L'!D32</f>
        <v>139911.7269207051</v>
      </c>
      <c r="E13" s="5">
        <f>'P&amp;L'!E32</f>
        <v>150271.59259978196</v>
      </c>
      <c r="F13" s="5">
        <f>'P&amp;L'!F32</f>
        <v>153277.02445177757</v>
      </c>
      <c r="G13" s="5">
        <f>'P&amp;L'!G32</f>
        <v>156342.56494081308</v>
      </c>
      <c r="H13" s="5">
        <f>'P&amp;L'!H32</f>
        <v>159469.41623962944</v>
      </c>
      <c r="I13" s="5">
        <f>'P&amp;L'!I32</f>
        <v>162658.804564422</v>
      </c>
      <c r="J13" s="5">
        <f>'P&amp;L'!J32</f>
        <v>165911.98065571045</v>
      </c>
      <c r="K13" s="5">
        <f>'P&amp;L'!K32</f>
        <v>169230.22026882466</v>
      </c>
      <c r="L13" s="5">
        <f>'P&amp;L'!L32</f>
        <v>172614.82467420114</v>
      </c>
    </row>
    <row r="14" spans="1:12" x14ac:dyDescent="0.25">
      <c r="A14" t="s">
        <v>195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  <c r="J14" s="5">
        <f>IF(B8=0,0,CUMIPMT(Assumptions!$B$48/12,Assumptions!$B$49*12,B8,85,96,0))</f>
        <v>0</v>
      </c>
      <c r="K14" s="5">
        <f>IF(B8=0,0,CUMIPMT(Assumptions!$B$48/12,Assumptions!$B$49*12,B8,97,108,0))</f>
        <v>0</v>
      </c>
      <c r="L14" s="5">
        <f>IF(B8=0,0,CUMIPMT(Assumptions!$B$48/12,Assumptions!$B$49*12,B8,109,120,0))</f>
        <v>0</v>
      </c>
    </row>
    <row r="15" spans="1:12" x14ac:dyDescent="0.25">
      <c r="A15" t="s">
        <v>196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  <c r="J15" s="5">
        <f>IF(B8=0,0,CUMPRINC(Assumptions!$B$48/12,Assumptions!$B$49*12,B8,85,96,0))</f>
        <v>0</v>
      </c>
      <c r="K15" s="5">
        <f>IF(B8=0,0,CUMPRINC(Assumptions!$B$48/12,Assumptions!$B$49*12,B8,97,108,0))</f>
        <v>0</v>
      </c>
      <c r="L15" s="5">
        <f>IF(B8=0,0,CUMPRINC(Assumptions!$B$48/12,Assumptions!$B$49*12,B8,109,120,0))</f>
        <v>0</v>
      </c>
    </row>
    <row r="16" spans="1:12" x14ac:dyDescent="0.25">
      <c r="A16" t="s">
        <v>226</v>
      </c>
      <c r="C16" s="5">
        <f>C13+C14+C15</f>
        <v>119706.68868449249</v>
      </c>
      <c r="D16" s="5">
        <f>D13+D14+D15</f>
        <v>139911.7269207051</v>
      </c>
      <c r="E16" s="5">
        <f>E13+E14+E15</f>
        <v>150271.59259978196</v>
      </c>
      <c r="F16" s="5">
        <f>F13+F14+F15</f>
        <v>153277.02445177757</v>
      </c>
      <c r="G16" s="5">
        <f>G13+G14+G15</f>
        <v>156342.56494081308</v>
      </c>
      <c r="H16" s="5">
        <f>H13+H14+H15</f>
        <v>159469.41623962944</v>
      </c>
      <c r="I16" s="5">
        <f>I13+I14+I15</f>
        <v>162658.804564422</v>
      </c>
      <c r="J16" s="5">
        <f>J13+J14+J15</f>
        <v>165911.98065571045</v>
      </c>
      <c r="K16" s="5">
        <f>K13+K14+K15</f>
        <v>169230.22026882466</v>
      </c>
      <c r="L16" s="5">
        <f>L13+L14+L15</f>
        <v>172614.82467420114</v>
      </c>
    </row>
    <row r="17" spans="1:12" x14ac:dyDescent="0.25">
      <c r="A17" t="s">
        <v>227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  <c r="J17" s="5">
        <f>0</f>
        <v>0</v>
      </c>
      <c r="K17" s="5">
        <f>0</f>
        <v>0</v>
      </c>
      <c r="L17" s="5">
        <f>0</f>
        <v>0</v>
      </c>
    </row>
    <row r="18" spans="1:12" x14ac:dyDescent="0.25">
      <c r="A18" t="s">
        <v>228</v>
      </c>
      <c r="C18" s="5">
        <f>IF(1=MIN(MAX(1,ROUNDUP(vat_months/12,0)),10),-B7,0)</f>
        <v>56343</v>
      </c>
      <c r="D18" s="5">
        <f>IF(2=MIN(MAX(1,ROUNDUP(vat_months/12,0)),10),-B7,0)</f>
        <v>0</v>
      </c>
      <c r="E18" s="5">
        <f>IF(3=MIN(MAX(1,ROUNDUP(vat_months/12,0)),10),-B7,0)</f>
        <v>0</v>
      </c>
      <c r="F18" s="5">
        <f>IF(4=MIN(MAX(1,ROUNDUP(vat_months/12,0)),10),-B7,0)</f>
        <v>0</v>
      </c>
      <c r="G18" s="5">
        <f>IF(5=MIN(MAX(1,ROUNDUP(vat_months/12,0)),10),-B7,0)</f>
        <v>0</v>
      </c>
      <c r="H18" s="5">
        <f>IF(6=MIN(MAX(1,ROUNDUP(vat_months/12,0)),10),-B7,0)</f>
        <v>0</v>
      </c>
      <c r="I18" s="5">
        <f>IF(7=MIN(MAX(1,ROUNDUP(vat_months/12,0)),10),-B7,0)</f>
        <v>0</v>
      </c>
      <c r="J18" s="5">
        <f>IF(8=MIN(MAX(1,ROUNDUP(vat_months/12,0)),10),-B7,0)</f>
        <v>0</v>
      </c>
      <c r="K18" s="5">
        <f>IF(9=MIN(MAX(1,ROUNDUP(vat_months/12,0)),10),-B7,0)</f>
        <v>0</v>
      </c>
      <c r="L18" s="5">
        <f>IF(10=MIN(MAX(1,ROUNDUP(vat_months/12,0)),10),-B7,0)</f>
        <v>0</v>
      </c>
    </row>
    <row r="19" spans="1:12" x14ac:dyDescent="0.25">
      <c r="A19" t="s">
        <v>229</v>
      </c>
      <c r="C19" s="5">
        <f>C16+C17+C18</f>
        <v>176049.6886844925</v>
      </c>
      <c r="D19" s="5">
        <f>C19+D16+D17+D18</f>
        <v>315961.4156051976</v>
      </c>
      <c r="E19" s="5">
        <f>D19+E16+E17+E18</f>
        <v>466233.0082049796</v>
      </c>
      <c r="F19" s="5">
        <f>E19+F16+F17+F18</f>
        <v>619510.0326567572</v>
      </c>
      <c r="G19" s="5">
        <f>F19+G16+G17+G18</f>
        <v>775852.5975975703</v>
      </c>
      <c r="H19" s="5">
        <f>G19+H16+H17+H18</f>
        <v>935322.0138371997</v>
      </c>
      <c r="I19" s="5">
        <f>H19+I16+I17+I18</f>
        <v>1097980.8184016217</v>
      </c>
      <c r="J19" s="5">
        <f>I19+J16+J17+J18</f>
        <v>1263892.799057332</v>
      </c>
      <c r="K19" s="5">
        <f>J19+K16+K17+K18</f>
        <v>1433123.0193261567</v>
      </c>
      <c r="L19" s="5">
        <f>K19+L16+L17+L18</f>
        <v>1605737.844000358</v>
      </c>
    </row>
    <row r="20" spans="1:12" x14ac:dyDescent="0.25">
      <c r="A20" t="s">
        <v>230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  <c r="J20" s="7">
        <f>IF((J14+J15)=0,0,-J13/(J14+J15))</f>
        <v>0</v>
      </c>
      <c r="K20" s="7">
        <f>IF((K14+K15)=0,0,-K13/(K14+K15))</f>
        <v>0</v>
      </c>
      <c r="L20" s="7">
        <f>IF((L14+L15)=0,0,-L13/(L14+L15))</f>
        <v>0</v>
      </c>
    </row>
    <row r="22" spans="1:12" x14ac:dyDescent="0.25">
      <c r="A22" t="s">
        <v>26</v>
      </c>
      <c r="C22" s="5">
        <f>IF(1=10,'P&amp;L'!L32/cap,0)</f>
        <v>0</v>
      </c>
      <c r="D22" s="5">
        <f>IF(2=10,'P&amp;L'!L32/cap,0)</f>
        <v>0</v>
      </c>
      <c r="E22" s="5">
        <f>IF(3=10,'P&amp;L'!L32/cap,0)</f>
        <v>0</v>
      </c>
      <c r="F22" s="5">
        <f>IF(4=10,'P&amp;L'!L32/cap,0)</f>
        <v>0</v>
      </c>
      <c r="G22" s="5">
        <f>IF(5=10,'P&amp;L'!L32/cap,0)</f>
        <v>0</v>
      </c>
      <c r="H22" s="5">
        <f>IF(6=10,'P&amp;L'!L32/cap,0)</f>
        <v>0</v>
      </c>
      <c r="I22" s="5">
        <f>IF(7=10,'P&amp;L'!L32/cap,0)</f>
        <v>0</v>
      </c>
      <c r="J22" s="5">
        <f>IF(8=10,'P&amp;L'!L32/cap,0)</f>
        <v>0</v>
      </c>
      <c r="K22" s="5">
        <f>IF(9=10,'P&amp;L'!L32/cap,0)</f>
        <v>0</v>
      </c>
      <c r="L22" s="5">
        <f>IF(10=10,'P&amp;L'!L32/cap,0)</f>
        <v>2465926.0667743017</v>
      </c>
    </row>
    <row r="23" spans="1:12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0</v>
      </c>
      <c r="J23" s="5">
        <f>-J22*sell_pct</f>
        <v>0</v>
      </c>
      <c r="K23" s="5">
        <f>-K22*sell_pct</f>
        <v>0</v>
      </c>
      <c r="L23" s="5">
        <f>-L22*sell_pct</f>
        <v>-49318.52133548586</v>
      </c>
    </row>
    <row r="24" spans="1:12" x14ac:dyDescent="0.25">
      <c r="A24" t="s">
        <v>28</v>
      </c>
      <c r="C24" s="5">
        <f>IF(1&lt;10,0,IF(B8=0,0,-(B8+CUMPRINC(Assumptions!$B$48/12,Assumptions!$B$49*12,B8,1,120,0))))</f>
        <v>0</v>
      </c>
      <c r="D24" s="5">
        <f>IF(2&lt;10,0,IF(B8=0,0,-(B8+CUMPRINC(Assumptions!$B$48/12,Assumptions!$B$49*12,B8,1,120,0))))</f>
        <v>0</v>
      </c>
      <c r="E24" s="5">
        <f>IF(3&lt;10,0,IF(B8=0,0,-(B8+CUMPRINC(Assumptions!$B$48/12,Assumptions!$B$49*12,B8,1,120,0))))</f>
        <v>0</v>
      </c>
      <c r="F24" s="5">
        <f>IF(4&lt;10,0,IF(B8=0,0,-(B8+CUMPRINC(Assumptions!$B$48/12,Assumptions!$B$49*12,B8,1,120,0))))</f>
        <v>0</v>
      </c>
      <c r="G24" s="5">
        <f>IF(5&lt;10,0,IF(B8=0,0,-(B8+CUMPRINC(Assumptions!$B$48/12,Assumptions!$B$49*12,B8,1,120,0))))</f>
        <v>0</v>
      </c>
      <c r="H24" s="5">
        <f>IF(6&lt;10,0,IF(B8=0,0,-(B8+CUMPRINC(Assumptions!$B$48/12,Assumptions!$B$49*12,B8,1,120,0))))</f>
        <v>0</v>
      </c>
      <c r="I24" s="5">
        <f>IF(7&lt;10,0,IF(B8=0,0,-(B8+CUMPRINC(Assumptions!$B$48/12,Assumptions!$B$49*12,B8,1,120,0))))</f>
        <v>0</v>
      </c>
      <c r="J24" s="5">
        <f>IF(8&lt;10,0,IF(B8=0,0,-(B8+CUMPRINC(Assumptions!$B$48/12,Assumptions!$B$49*12,B8,1,120,0))))</f>
        <v>0</v>
      </c>
      <c r="K24" s="5">
        <f>IF(9&lt;10,0,IF(B8=0,0,-(B8+CUMPRINC(Assumptions!$B$48/12,Assumptions!$B$49*12,B8,1,120,0))))</f>
        <v>0</v>
      </c>
      <c r="L24" s="5">
        <f>IF(10&lt;10,0,IF(B8=0,0,-(B8+CUMPRINC(Assumptions!$B$48/12,Assumptions!$B$49*12,B8,1,120,0))))</f>
        <v>0</v>
      </c>
    </row>
    <row r="25" spans="1:12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0</v>
      </c>
      <c r="J25" s="5">
        <f>J22+J23+J24</f>
        <v>0</v>
      </c>
      <c r="K25" s="5">
        <f>K22+K23+K24</f>
        <v>0</v>
      </c>
      <c r="L25" s="5">
        <f>L22+L23+L24</f>
        <v>2416607.545438816</v>
      </c>
    </row>
    <row r="27" spans="1:12" x14ac:dyDescent="0.25">
      <c r="A27" t="s">
        <v>205</v>
      </c>
      <c r="C27" s="5">
        <f>95765.350947594</f>
        <v>95765.350947594</v>
      </c>
      <c r="D27" s="5">
        <f>111929.38153656409</f>
        <v>111929.38153656409</v>
      </c>
      <c r="E27" s="5">
        <f>120217.27407982557</f>
        <v>120217.27407982557</v>
      </c>
      <c r="F27" s="5">
        <f>122621.61956142206</f>
        <v>122621.61956142206</v>
      </c>
      <c r="G27" s="5">
        <f>125074.05195265048</f>
        <v>125074.05195265048</v>
      </c>
      <c r="H27" s="5">
        <f>127575.53299170356</f>
        <v>127575.53299170356</v>
      </c>
      <c r="I27" s="5">
        <f>130127.0436515376</f>
        <v>130127.0436515376</v>
      </c>
      <c r="J27" s="5">
        <f>132729.58452456837</f>
        <v>132729.58452456837</v>
      </c>
      <c r="K27" s="5">
        <f>135384.17621505974</f>
        <v>135384.17621505974</v>
      </c>
      <c r="L27" s="5">
        <f>138091.85973936092</f>
        <v>138091.85973936092</v>
      </c>
    </row>
    <row r="28" spans="1:12" x14ac:dyDescent="0.25">
      <c r="A28" t="s">
        <v>206</v>
      </c>
      <c r="C28" s="5">
        <f>23941.337736898495</f>
        <v>23941.337736898495</v>
      </c>
      <c r="D28" s="5">
        <f>27982.345384141023</f>
        <v>27982.345384141023</v>
      </c>
      <c r="E28" s="5">
        <f>30054.31851995639</f>
        <v>30054.31851995639</v>
      </c>
      <c r="F28" s="5">
        <f>30655.40489035551</f>
        <v>30655.40489035551</v>
      </c>
      <c r="G28" s="5">
        <f>31268.512988162605</f>
        <v>31268.512988162605</v>
      </c>
      <c r="H28" s="5">
        <f>31893.883247925885</f>
        <v>31893.883247925885</v>
      </c>
      <c r="I28" s="5">
        <f>32531.76091288439</f>
        <v>32531.76091288439</v>
      </c>
      <c r="J28" s="5">
        <f>33182.39613114207</f>
        <v>33182.39613114207</v>
      </c>
      <c r="K28" s="5">
        <f>33846.04405376493</f>
        <v>33846.04405376493</v>
      </c>
      <c r="L28" s="5">
        <f>34522.964934840216</f>
        <v>34522.964934840216</v>
      </c>
    </row>
    <row r="29" spans="1:12" x14ac:dyDescent="0.25">
      <c r="A29" t="s">
        <v>231</v>
      </c>
      <c r="C29" s="5">
        <f>IF(1=10,1856093.4863863294,0)</f>
        <v>0</v>
      </c>
      <c r="D29" s="5">
        <f>IF(2=10,1856093.4863863294,0)</f>
        <v>0</v>
      </c>
      <c r="E29" s="5">
        <f>IF(3=10,1856093.4863863294,0)</f>
        <v>0</v>
      </c>
      <c r="F29" s="5">
        <f>IF(4=10,1856093.4863863294,0)</f>
        <v>0</v>
      </c>
      <c r="G29" s="5">
        <f>IF(5=10,1856093.4863863294,0)</f>
        <v>0</v>
      </c>
      <c r="H29" s="5">
        <f>IF(6=10,1856093.4863863294,0)</f>
        <v>0</v>
      </c>
      <c r="I29" s="5">
        <f>IF(7=10,1856093.4863863294,0)</f>
        <v>0</v>
      </c>
      <c r="J29" s="5">
        <f>IF(8=10,1856093.4863863294,0)</f>
        <v>0</v>
      </c>
      <c r="K29" s="5">
        <f>IF(9=10,1856093.4863863294,0)</f>
        <v>0</v>
      </c>
      <c r="L29" s="5">
        <f>IF(10=10,1856093.4863863294,0)</f>
        <v>1856093.4863863294</v>
      </c>
    </row>
    <row r="30" spans="1:12" x14ac:dyDescent="0.25">
      <c r="A30" t="s">
        <v>232</v>
      </c>
      <c r="C30" s="5">
        <f>IF(1=10,560514.0590524864,0)</f>
        <v>0</v>
      </c>
      <c r="D30" s="5">
        <f>IF(2=10,560514.0590524864,0)</f>
        <v>0</v>
      </c>
      <c r="E30" s="5">
        <f>IF(3=10,560514.0590524864,0)</f>
        <v>0</v>
      </c>
      <c r="F30" s="5">
        <f>IF(4=10,560514.0590524864,0)</f>
        <v>0</v>
      </c>
      <c r="G30" s="5">
        <f>IF(5=10,560514.0590524864,0)</f>
        <v>0</v>
      </c>
      <c r="H30" s="5">
        <f>IF(6=10,560514.0590524864,0)</f>
        <v>0</v>
      </c>
      <c r="I30" s="5">
        <f>IF(7=10,560514.0590524864,0)</f>
        <v>0</v>
      </c>
      <c r="J30" s="5">
        <f>IF(8=10,560514.0590524864,0)</f>
        <v>0</v>
      </c>
      <c r="K30" s="5">
        <f>IF(9=10,560514.0590524864,0)</f>
        <v>0</v>
      </c>
      <c r="L30" s="5">
        <f>IF(10=10,560514.0590524864,0)</f>
        <v>560514.0590524864</v>
      </c>
    </row>
    <row r="31" spans="1:12" x14ac:dyDescent="0.25">
      <c r="A31" t="s">
        <v>233</v>
      </c>
      <c r="C31" s="5">
        <f>(C17+C18)*(1-gp_pct)</f>
        <v>45074.40000000001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  <c r="J31" s="5">
        <f>(J17+J18)*(1-gp_pct)</f>
        <v>0</v>
      </c>
      <c r="K31" s="5">
        <f>(K17+K18)*(1-gp_pct)</f>
        <v>0</v>
      </c>
      <c r="L31" s="5">
        <f>(L17+L18)*(1-gp_pct)</f>
        <v>0</v>
      </c>
    </row>
    <row r="32" spans="1:12" x14ac:dyDescent="0.25">
      <c r="A32" t="s">
        <v>234</v>
      </c>
      <c r="C32" s="5">
        <f>(C17+C18)*gp_pct</f>
        <v>11268.599999999991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  <c r="J32" s="5">
        <f>(J17+J18)*gp_pct</f>
        <v>0</v>
      </c>
      <c r="K32" s="5">
        <f>(K17+K18)*gp_pct</f>
        <v>0</v>
      </c>
      <c r="L32" s="5">
        <f>(L17+L18)*gp_pct</f>
        <v>0</v>
      </c>
    </row>
    <row r="33" spans="1:12" x14ac:dyDescent="0.25">
      <c r="A33" s="3" t="s">
        <v>235</v>
      </c>
      <c r="C33" s="5">
        <f>SUM(C27:C32)</f>
        <v>176049.6886844925</v>
      </c>
      <c r="D33" s="5">
        <f>SUM(D27:D32)</f>
        <v>139911.7269207051</v>
      </c>
      <c r="E33" s="5">
        <f>SUM(E27:E32)</f>
        <v>150271.59259978196</v>
      </c>
      <c r="F33" s="5">
        <f>SUM(F27:F32)</f>
        <v>153277.02445177757</v>
      </c>
      <c r="G33" s="5">
        <f>SUM(G27:G32)</f>
        <v>156342.56494081308</v>
      </c>
      <c r="H33" s="5">
        <f>SUM(H27:H32)</f>
        <v>159469.41623962944</v>
      </c>
      <c r="I33" s="5">
        <f>SUM(I27:I32)</f>
        <v>162658.804564422</v>
      </c>
      <c r="J33" s="5">
        <f>SUM(J27:J32)</f>
        <v>165911.98065571045</v>
      </c>
      <c r="K33" s="5">
        <f>SUM(K27:K32)</f>
        <v>169230.22026882466</v>
      </c>
      <c r="L33" s="5">
        <f>SUM(L27:L32)</f>
        <v>2589222.370113017</v>
      </c>
    </row>
    <row r="35" spans="1:12" x14ac:dyDescent="0.25">
      <c r="A35" t="s">
        <v>236</v>
      </c>
      <c r="C35" s="5">
        <f>C16+C17+C18+C25</f>
        <v>176049.6886844925</v>
      </c>
      <c r="D35" s="5">
        <f>D16+D17+D18+D25</f>
        <v>139911.7269207051</v>
      </c>
      <c r="E35" s="5">
        <f>E16+E17+E18+E25</f>
        <v>150271.59259978196</v>
      </c>
      <c r="F35" s="5">
        <f>F16+F17+F18+F25</f>
        <v>153277.02445177757</v>
      </c>
      <c r="G35" s="5">
        <f>G16+G17+G18+G25</f>
        <v>156342.56494081308</v>
      </c>
      <c r="H35" s="5">
        <f>H16+H17+H18+H25</f>
        <v>159469.41623962944</v>
      </c>
      <c r="I35" s="5">
        <f>I16+I17+I18+I25</f>
        <v>162658.804564422</v>
      </c>
      <c r="J35" s="5">
        <f>J16+J17+J18+J25</f>
        <v>165911.98065571045</v>
      </c>
      <c r="K35" s="5">
        <f>K16+K17+K18+K25</f>
        <v>169230.22026882466</v>
      </c>
      <c r="L35" s="5">
        <f>L16+L17+L18+L25</f>
        <v>2589222.370113017</v>
      </c>
    </row>
    <row r="36" spans="1:12" x14ac:dyDescent="0.25">
      <c r="A36" t="s">
        <v>237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  <c r="J36" s="5">
        <f>J35-J33</f>
        <v>0</v>
      </c>
      <c r="K36" s="5">
        <f>K35-K33</f>
        <v>0</v>
      </c>
      <c r="L36" s="5">
        <f>L35-L33</f>
        <v>0</v>
      </c>
    </row>
    <row r="38" spans="1:12" x14ac:dyDescent="0.25">
      <c r="A38" t="s">
        <v>238</v>
      </c>
      <c r="B38" s="5">
        <f>-B9</f>
        <v>-1469559.2484848485</v>
      </c>
      <c r="C38" s="5">
        <f>C27+C29+C31</f>
        <v>140839.750947594</v>
      </c>
      <c r="D38" s="5">
        <f>D27+D29+D31</f>
        <v>111929.38153656409</v>
      </c>
      <c r="E38" s="5">
        <f>E27+E29+E31</f>
        <v>120217.27407982557</v>
      </c>
      <c r="F38" s="5">
        <f>F27+F29+F31</f>
        <v>122621.61956142206</v>
      </c>
      <c r="G38" s="5">
        <f>G27+G29+G31</f>
        <v>125074.05195265048</v>
      </c>
      <c r="H38" s="5">
        <f>H27+H29+H31</f>
        <v>127575.53299170356</v>
      </c>
      <c r="I38" s="5">
        <f>I27+I29+I31</f>
        <v>130127.0436515376</v>
      </c>
      <c r="J38" s="5">
        <f>J27+J29+J31</f>
        <v>132729.58452456837</v>
      </c>
      <c r="K38" s="5">
        <f>K27+K29+K31</f>
        <v>135384.17621505974</v>
      </c>
      <c r="L38" s="5">
        <f>L27+L29+L31</f>
        <v>1994185.3461256903</v>
      </c>
    </row>
    <row r="39" spans="1:12" x14ac:dyDescent="0.25">
      <c r="A39" t="s">
        <v>239</v>
      </c>
      <c r="B39" s="5">
        <f>B38</f>
        <v>-1469559.2484848485</v>
      </c>
      <c r="C39" s="5">
        <f>B39+C38</f>
        <v>-1328719.4975372546</v>
      </c>
      <c r="D39" s="5">
        <f>C39+D38</f>
        <v>-1216790.1160006905</v>
      </c>
      <c r="E39" s="5">
        <f>D39+E38</f>
        <v>-1096572.841920865</v>
      </c>
      <c r="F39" s="5">
        <f>E39+F38</f>
        <v>-973951.222359443</v>
      </c>
      <c r="G39" s="5">
        <f>F39+G38</f>
        <v>-848877.1704067925</v>
      </c>
      <c r="H39" s="5">
        <f>G39+H38</f>
        <v>-721301.637415089</v>
      </c>
      <c r="I39" s="5">
        <f>H39+I38</f>
        <v>-591174.5937635513</v>
      </c>
      <c r="J39" s="5">
        <f>I39+J38</f>
        <v>-458445.0092389829</v>
      </c>
      <c r="K39" s="5">
        <f>J39+K38</f>
        <v>-323060.8330239232</v>
      </c>
      <c r="L39" s="5">
        <f>K39+L38</f>
        <v>1671124.513101767</v>
      </c>
    </row>
    <row r="42" spans="1:1" x14ac:dyDescent="0.25">
      <c r="A42" s="3" t="s">
        <v>240</v>
      </c>
    </row>
    <row r="43" spans="2:12" x14ac:dyDescent="0.25">
      <c r="B43" s="3" t="s">
        <v>220</v>
      </c>
      <c r="C43" s="3" t="s">
        <v>152</v>
      </c>
      <c r="D43" s="3" t="s">
        <v>153</v>
      </c>
      <c r="E43" s="3" t="s">
        <v>154</v>
      </c>
      <c r="F43" s="3" t="s">
        <v>155</v>
      </c>
      <c r="G43" s="3" t="s">
        <v>156</v>
      </c>
      <c r="H43" s="3" t="s">
        <v>157</v>
      </c>
      <c r="I43" s="3" t="s">
        <v>158</v>
      </c>
      <c r="J43" s="3" t="s">
        <v>159</v>
      </c>
      <c r="K43" s="3" t="s">
        <v>160</v>
      </c>
      <c r="L43" s="3" t="s">
        <v>161</v>
      </c>
    </row>
    <row r="44" spans="1:2" x14ac:dyDescent="0.25">
      <c r="A44" t="s">
        <v>221</v>
      </c>
      <c r="B44" s="5">
        <f>-IF(Assumptions!$C$47&gt;0,tpc,cost_base)</f>
        <v>-1798775.5102040814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-22687.448979591838</v>
      </c>
    </row>
    <row r="46" spans="1:2" x14ac:dyDescent="0.25">
      <c r="A46" t="s">
        <v>17</v>
      </c>
      <c r="B46" s="5">
        <f>-vat_float</f>
        <v>-56343</v>
      </c>
    </row>
    <row r="47" spans="1:2" x14ac:dyDescent="0.25">
      <c r="A47" t="s">
        <v>222</v>
      </c>
      <c r="B47" s="5">
        <f>Assumptions!$C$47*tpc</f>
        <v>899387.7551020408</v>
      </c>
    </row>
    <row r="48" spans="1:2" x14ac:dyDescent="0.25">
      <c r="A48" t="s">
        <v>223</v>
      </c>
      <c r="B48" s="5">
        <f>(-(B44+B47+B45)-B46)*(1-gp_pct)</f>
        <v>782734.5632653062</v>
      </c>
    </row>
    <row r="49" spans="1:2" x14ac:dyDescent="0.25">
      <c r="A49" t="s">
        <v>224</v>
      </c>
      <c r="B49" s="5">
        <f>(-(B44+B47+B45)-B46)*gp_pct</f>
        <v>195683.64081632654</v>
      </c>
    </row>
    <row r="50" spans="1:2" x14ac:dyDescent="0.25">
      <c r="A50" s="3" t="s">
        <v>225</v>
      </c>
      <c r="B50" s="5">
        <f>SUM(B44:B49)</f>
        <v>0</v>
      </c>
    </row>
    <row r="52" spans="1:12" x14ac:dyDescent="0.25">
      <c r="A52" t="s">
        <v>190</v>
      </c>
      <c r="C52" s="5">
        <f>'P&amp;L'!C32</f>
        <v>119706.68868449249</v>
      </c>
      <c r="D52" s="5">
        <f>'P&amp;L'!D32</f>
        <v>139911.7269207051</v>
      </c>
      <c r="E52" s="5">
        <f>'P&amp;L'!E32</f>
        <v>150271.59259978196</v>
      </c>
      <c r="F52" s="5">
        <f>'P&amp;L'!F32</f>
        <v>153277.02445177757</v>
      </c>
      <c r="G52" s="5">
        <f>'P&amp;L'!G32</f>
        <v>156342.56494081308</v>
      </c>
      <c r="H52" s="5">
        <f>'P&amp;L'!H32</f>
        <v>159469.41623962944</v>
      </c>
      <c r="I52" s="5">
        <f>'P&amp;L'!I32</f>
        <v>162658.804564422</v>
      </c>
      <c r="J52" s="5">
        <f>'P&amp;L'!J32</f>
        <v>165911.98065571045</v>
      </c>
      <c r="K52" s="5">
        <f>'P&amp;L'!K32</f>
        <v>169230.22026882466</v>
      </c>
      <c r="L52" s="5">
        <f>'P&amp;L'!L32</f>
        <v>172614.82467420114</v>
      </c>
    </row>
    <row r="53" spans="1:12" x14ac:dyDescent="0.25">
      <c r="A53" t="s">
        <v>195</v>
      </c>
      <c r="C53" s="5">
        <f>IF(B47=0,0,CUMIPMT(Assumptions!$C$48/12,Assumptions!$C$49*12,B47,1,12,0))</f>
        <v>-24117.06427020717</v>
      </c>
      <c r="D53" s="5">
        <f>IF(B47=0,0,CUMIPMT(Assumptions!$C$48/12,Assumptions!$C$49*12,B47,13,24,0))</f>
        <v>-22748.9904561984</v>
      </c>
      <c r="E53" s="5">
        <f>IF(B47=0,0,CUMIPMT(Assumptions!$C$48/12,Assumptions!$C$49*12,B47,25,36,0))</f>
        <v>-21342.8167769053</v>
      </c>
      <c r="F53" s="5">
        <f>IF(B47=0,0,CUMIPMT(Assumptions!$C$48/12,Assumptions!$C$49*12,B47,37,48,0))</f>
        <v>-19897.482178662605</v>
      </c>
      <c r="G53" s="5">
        <f>IF(B47=0,0,CUMIPMT(Assumptions!$C$48/12,Assumptions!$C$49*12,B47,49,60,0))</f>
        <v>-18411.89605822868</v>
      </c>
      <c r="H53" s="5">
        <f>IF(B47=0,0,CUMIPMT(Assumptions!$C$48/12,Assumptions!$C$49*12,B47,61,72,0))</f>
        <v>-16884.93743985112</v>
      </c>
      <c r="I53" s="5">
        <f>IF(B47=0,0,CUMIPMT(Assumptions!$C$48/12,Assumptions!$C$49*12,B47,73,84,0))</f>
        <v>-15315.45412941439</v>
      </c>
      <c r="J53" s="5">
        <f>IF(B47=0,0,CUMIPMT(Assumptions!$C$48/12,Assumptions!$C$49*12,B47,85,96,0))</f>
        <v>-13702.261845030978</v>
      </c>
      <c r="K53" s="5">
        <f>IF(B47=0,0,CUMIPMT(Assumptions!$C$48/12,Assumptions!$C$49*12,B47,97,108,0))</f>
        <v>-12044.143323420178</v>
      </c>
      <c r="L53" s="5">
        <f>IF(B47=0,0,CUMIPMT(Assumptions!$C$48/12,Assumptions!$C$49*12,B47,109,120,0))</f>
        <v>-10339.847401400175</v>
      </c>
    </row>
    <row r="54" spans="1:12" x14ac:dyDescent="0.25">
      <c r="A54" t="s">
        <v>196</v>
      </c>
      <c r="C54" s="5">
        <f>IF(B47=0,0,CUMPRINC(Assumptions!$C$48/12,Assumptions!$C$49*12,B47,1,12,0))</f>
        <v>-49124.214655584896</v>
      </c>
      <c r="D54" s="5">
        <f>IF(B47=0,0,CUMPRINC(Assumptions!$C$48/12,Assumptions!$C$49*12,B47,13,24,0))</f>
        <v>-50492.28846959367</v>
      </c>
      <c r="E54" s="5">
        <f>IF(B47=0,0,CUMPRINC(Assumptions!$C$48/12,Assumptions!$C$49*12,B47,25,36,0))</f>
        <v>-51898.46214888677</v>
      </c>
      <c r="F54" s="5">
        <f>IF(B47=0,0,CUMPRINC(Assumptions!$C$48/12,Assumptions!$C$49*12,B47,37,48,0))</f>
        <v>-53343.79674712947</v>
      </c>
      <c r="G54" s="5">
        <f>IF(B47=0,0,CUMPRINC(Assumptions!$C$48/12,Assumptions!$C$49*12,B47,49,60,0))</f>
        <v>-54829.38286756338</v>
      </c>
      <c r="H54" s="5">
        <f>IF(B47=0,0,CUMPRINC(Assumptions!$C$48/12,Assumptions!$C$49*12,B47,61,72,0))</f>
        <v>-56356.341485940946</v>
      </c>
      <c r="I54" s="5">
        <f>IF(B47=0,0,CUMPRINC(Assumptions!$C$48/12,Assumptions!$C$49*12,B47,73,84,0))</f>
        <v>-57925.824796377674</v>
      </c>
      <c r="J54" s="5">
        <f>IF(B47=0,0,CUMPRINC(Assumptions!$C$48/12,Assumptions!$C$49*12,B47,85,96,0))</f>
        <v>-59539.01708076109</v>
      </c>
      <c r="K54" s="5">
        <f>IF(B47=0,0,CUMPRINC(Assumptions!$C$48/12,Assumptions!$C$49*12,B47,97,108,0))</f>
        <v>-61197.13560237188</v>
      </c>
      <c r="L54" s="5">
        <f>IF(B47=0,0,CUMPRINC(Assumptions!$C$48/12,Assumptions!$C$49*12,B47,109,120,0))</f>
        <v>-62901.43152439189</v>
      </c>
    </row>
    <row r="55" spans="1:12" x14ac:dyDescent="0.25">
      <c r="A55" t="s">
        <v>226</v>
      </c>
      <c r="C55" s="5">
        <f>C52+C53+C54</f>
        <v>46465.40975870043</v>
      </c>
      <c r="D55" s="5">
        <f>D52+D53+D54</f>
        <v>66670.44799491305</v>
      </c>
      <c r="E55" s="5">
        <f>E52+E53+E54</f>
        <v>77030.31367398989</v>
      </c>
      <c r="F55" s="5">
        <f>F52+F53+F54</f>
        <v>80035.74552598549</v>
      </c>
      <c r="G55" s="5">
        <f>G52+G53+G54</f>
        <v>83101.28601502103</v>
      </c>
      <c r="H55" s="5">
        <f>H52+H53+H54</f>
        <v>86228.13731383739</v>
      </c>
      <c r="I55" s="5">
        <f>I52+I53+I54</f>
        <v>89417.52563862992</v>
      </c>
      <c r="J55" s="5">
        <f>J52+J53+J54</f>
        <v>92670.7017299184</v>
      </c>
      <c r="K55" s="5">
        <f>K52+K53+K54</f>
        <v>95988.94134303261</v>
      </c>
      <c r="L55" s="5">
        <f>L52+L53+L54</f>
        <v>99373.54574840906</v>
      </c>
    </row>
    <row r="56" spans="1:12" x14ac:dyDescent="0.25">
      <c r="A56" t="s">
        <v>227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  <c r="J56" s="5">
        <f>0</f>
        <v>0</v>
      </c>
      <c r="K56" s="5">
        <f>0</f>
        <v>0</v>
      </c>
      <c r="L56" s="5">
        <f>0</f>
        <v>0</v>
      </c>
    </row>
    <row r="57" spans="1:12" x14ac:dyDescent="0.25">
      <c r="A57" t="s">
        <v>228</v>
      </c>
      <c r="C57" s="5">
        <f>IF(1=MIN(MAX(1,ROUNDUP(vat_months/12,0)),10),-B46,0)</f>
        <v>56343</v>
      </c>
      <c r="D57" s="5">
        <f>IF(2=MIN(MAX(1,ROUNDUP(vat_months/12,0)),10),-B46,0)</f>
        <v>0</v>
      </c>
      <c r="E57" s="5">
        <f>IF(3=MIN(MAX(1,ROUNDUP(vat_months/12,0)),10),-B46,0)</f>
        <v>0</v>
      </c>
      <c r="F57" s="5">
        <f>IF(4=MIN(MAX(1,ROUNDUP(vat_months/12,0)),10),-B46,0)</f>
        <v>0</v>
      </c>
      <c r="G57" s="5">
        <f>IF(5=MIN(MAX(1,ROUNDUP(vat_months/12,0)),10),-B46,0)</f>
        <v>0</v>
      </c>
      <c r="H57" s="5">
        <f>IF(6=MIN(MAX(1,ROUNDUP(vat_months/12,0)),10),-B46,0)</f>
        <v>0</v>
      </c>
      <c r="I57" s="5">
        <f>IF(7=MIN(MAX(1,ROUNDUP(vat_months/12,0)),10),-B46,0)</f>
        <v>0</v>
      </c>
      <c r="J57" s="5">
        <f>IF(8=MIN(MAX(1,ROUNDUP(vat_months/12,0)),10),-B46,0)</f>
        <v>0</v>
      </c>
      <c r="K57" s="5">
        <f>IF(9=MIN(MAX(1,ROUNDUP(vat_months/12,0)),10),-B46,0)</f>
        <v>0</v>
      </c>
      <c r="L57" s="5">
        <f>IF(10=MIN(MAX(1,ROUNDUP(vat_months/12,0)),10),-B46,0)</f>
        <v>0</v>
      </c>
    </row>
    <row r="58" spans="1:12" x14ac:dyDescent="0.25">
      <c r="A58" t="s">
        <v>229</v>
      </c>
      <c r="C58" s="5">
        <f>C55+C56+C57</f>
        <v>102808.40975870044</v>
      </c>
      <c r="D58" s="5">
        <f>C58+D55+D56+D57</f>
        <v>169478.8577536135</v>
      </c>
      <c r="E58" s="5">
        <f>D58+E55+E56+E57</f>
        <v>246509.1714276034</v>
      </c>
      <c r="F58" s="5">
        <f>E58+F55+F56+F57</f>
        <v>326544.9169535889</v>
      </c>
      <c r="G58" s="5">
        <f>F58+G55+G56+G57</f>
        <v>409646.2029686099</v>
      </c>
      <c r="H58" s="5">
        <f>G58+H55+H56+H57</f>
        <v>495874.3402824473</v>
      </c>
      <c r="I58" s="5">
        <f>H58+I55+I56+I57</f>
        <v>585291.8659210772</v>
      </c>
      <c r="J58" s="5">
        <f>I58+J55+J56+J57</f>
        <v>677962.5676509956</v>
      </c>
      <c r="K58" s="5">
        <f>J58+K55+K56+K57</f>
        <v>773951.5089940282</v>
      </c>
      <c r="L58" s="5">
        <f>K58+L55+L56+L57</f>
        <v>873325.0547424373</v>
      </c>
    </row>
    <row r="59" spans="1:12" x14ac:dyDescent="0.25">
      <c r="A59" t="s">
        <v>230</v>
      </c>
      <c r="C59" s="7">
        <f>IF((C53+C54)=0,0,-C52/(C53+C54))</f>
        <v>1.6344155978731487</v>
      </c>
      <c r="D59" s="7">
        <f>IF((D53+D54)=0,0,-D52/(D53+D54))</f>
        <v>1.9102851421049518</v>
      </c>
      <c r="E59" s="7">
        <f>IF((E53+E54)=0,0,-E52/(E53+E54))</f>
        <v>2.0517335961874297</v>
      </c>
      <c r="F59" s="7">
        <f>IF((F53+F54)=0,0,-F52/(F53+F54))</f>
        <v>2.092768268111177</v>
      </c>
      <c r="G59" s="7">
        <f>IF((G53+G54)=0,0,-G52/(G53+G54))</f>
        <v>2.1346236334734012</v>
      </c>
      <c r="H59" s="7">
        <f>IF((H53+H54)=0,0,-H52/(H53+H54))</f>
        <v>2.1773161061428703</v>
      </c>
      <c r="I59" s="7">
        <f>IF((I53+I54)=0,0,-I52/(I53+I54))</f>
        <v>2.220862428265727</v>
      </c>
      <c r="J59" s="7">
        <f>IF((J53+J54)=0,0,-J52/(J53+J54))</f>
        <v>2.265279676831042</v>
      </c>
      <c r="K59" s="7">
        <f>IF((K53+K54)=0,0,-K52/(K53+K54))</f>
        <v>2.3105852703676626</v>
      </c>
      <c r="L59" s="7">
        <f>IF((L53+L54)=0,0,-L52/(L53+L54))</f>
        <v>2.3567969757750156</v>
      </c>
    </row>
    <row r="61" spans="1:12" x14ac:dyDescent="0.25">
      <c r="A61" t="s">
        <v>26</v>
      </c>
      <c r="C61" s="5">
        <f>IF(1=10,'P&amp;L'!L32/cap,0)</f>
        <v>0</v>
      </c>
      <c r="D61" s="5">
        <f>IF(2=10,'P&amp;L'!L32/cap,0)</f>
        <v>0</v>
      </c>
      <c r="E61" s="5">
        <f>IF(3=10,'P&amp;L'!L32/cap,0)</f>
        <v>0</v>
      </c>
      <c r="F61" s="5">
        <f>IF(4=10,'P&amp;L'!L32/cap,0)</f>
        <v>0</v>
      </c>
      <c r="G61" s="5">
        <f>IF(5=10,'P&amp;L'!L32/cap,0)</f>
        <v>0</v>
      </c>
      <c r="H61" s="5">
        <f>IF(6=10,'P&amp;L'!L32/cap,0)</f>
        <v>0</v>
      </c>
      <c r="I61" s="5">
        <f>IF(7=10,'P&amp;L'!L32/cap,0)</f>
        <v>0</v>
      </c>
      <c r="J61" s="5">
        <f>IF(8=10,'P&amp;L'!L32/cap,0)</f>
        <v>0</v>
      </c>
      <c r="K61" s="5">
        <f>IF(9=10,'P&amp;L'!L32/cap,0)</f>
        <v>0</v>
      </c>
      <c r="L61" s="5">
        <f>IF(10=10,'P&amp;L'!L32/cap,0)</f>
        <v>2465926.0667743017</v>
      </c>
    </row>
    <row r="62" spans="1:12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0</v>
      </c>
      <c r="J62" s="5">
        <f>-J61*sell_pct</f>
        <v>0</v>
      </c>
      <c r="K62" s="5">
        <f>-K61*sell_pct</f>
        <v>0</v>
      </c>
      <c r="L62" s="5">
        <f>-L61*sell_pct</f>
        <v>-49318.52133548586</v>
      </c>
    </row>
    <row r="63" spans="1:12" x14ac:dyDescent="0.25">
      <c r="A63" t="s">
        <v>28</v>
      </c>
      <c r="C63" s="5">
        <f>IF(1&lt;10,0,IF(B47=0,0,-(B47+CUMPRINC(Assumptions!$C$48/12,Assumptions!$C$49*12,B47,1,120,0))))</f>
        <v>0</v>
      </c>
      <c r="D63" s="5">
        <f>IF(2&lt;10,0,IF(B47=0,0,-(B47+CUMPRINC(Assumptions!$C$48/12,Assumptions!$C$49*12,B47,1,120,0))))</f>
        <v>0</v>
      </c>
      <c r="E63" s="5">
        <f>IF(3&lt;10,0,IF(B47=0,0,-(B47+CUMPRINC(Assumptions!$C$48/12,Assumptions!$C$49*12,B47,1,120,0))))</f>
        <v>0</v>
      </c>
      <c r="F63" s="5">
        <f>IF(4&lt;10,0,IF(B47=0,0,-(B47+CUMPRINC(Assumptions!$C$48/12,Assumptions!$C$49*12,B47,1,120,0))))</f>
        <v>0</v>
      </c>
      <c r="G63" s="5">
        <f>IF(5&lt;10,0,IF(B47=0,0,-(B47+CUMPRINC(Assumptions!$C$48/12,Assumptions!$C$49*12,B47,1,120,0))))</f>
        <v>0</v>
      </c>
      <c r="H63" s="5">
        <f>IF(6&lt;10,0,IF(B47=0,0,-(B47+CUMPRINC(Assumptions!$C$48/12,Assumptions!$C$49*12,B47,1,120,0))))</f>
        <v>0</v>
      </c>
      <c r="I63" s="5">
        <f>IF(7&lt;10,0,IF(B47=0,0,-(B47+CUMPRINC(Assumptions!$C$48/12,Assumptions!$C$49*12,B47,1,120,0))))</f>
        <v>0</v>
      </c>
      <c r="J63" s="5">
        <f>IF(8&lt;10,0,IF(B47=0,0,-(B47+CUMPRINC(Assumptions!$C$48/12,Assumptions!$C$49*12,B47,1,120,0))))</f>
        <v>0</v>
      </c>
      <c r="K63" s="5">
        <f>IF(9&lt;10,0,IF(B47=0,0,-(B47+CUMPRINC(Assumptions!$C$48/12,Assumptions!$C$49*12,B47,1,120,0))))</f>
        <v>0</v>
      </c>
      <c r="L63" s="5">
        <f>IF(10&lt;10,0,IF(B47=0,0,-(B47+CUMPRINC(Assumptions!$C$48/12,Assumptions!$C$49*12,B47,1,120,0))))</f>
        <v>-341779.8597234391</v>
      </c>
    </row>
    <row r="64" spans="1:12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0</v>
      </c>
      <c r="J64" s="5">
        <f>J61+J62+J63</f>
        <v>0</v>
      </c>
      <c r="K64" s="5">
        <f>K61+K62+K63</f>
        <v>0</v>
      </c>
      <c r="L64" s="5">
        <f>L61+L62+L63</f>
        <v>2074827.6857153769</v>
      </c>
    </row>
    <row r="66" spans="1:12" x14ac:dyDescent="0.25">
      <c r="A66" t="s">
        <v>205</v>
      </c>
      <c r="C66" s="5">
        <f>37172.32780696035</f>
        <v>37172.32780696035</v>
      </c>
      <c r="D66" s="5">
        <f>53336.35839593044</f>
        <v>53336.35839593044</v>
      </c>
      <c r="E66" s="5">
        <f>61624.250939191916</f>
        <v>61624.250939191916</v>
      </c>
      <c r="F66" s="5">
        <f>64028.596420788395</f>
        <v>64028.596420788395</v>
      </c>
      <c r="G66" s="5">
        <f>66481.02881201683</f>
        <v>66481.02881201683</v>
      </c>
      <c r="H66" s="5">
        <f>68982.50985106992</f>
        <v>68982.50985106992</v>
      </c>
      <c r="I66" s="5">
        <f>71534.02051090394</f>
        <v>71534.02051090394</v>
      </c>
      <c r="J66" s="5">
        <f>74136.56138393472</f>
        <v>74136.56138393472</v>
      </c>
      <c r="K66" s="5">
        <f>76791.1530744261</f>
        <v>76791.1530744261</v>
      </c>
      <c r="L66" s="5">
        <f>79498.83659872726</f>
        <v>79498.83659872726</v>
      </c>
    </row>
    <row r="67" spans="1:12" x14ac:dyDescent="0.25">
      <c r="A67" t="s">
        <v>206</v>
      </c>
      <c r="C67" s="5">
        <f>9293.081951740081</f>
        <v>9293.081951740081</v>
      </c>
      <c r="D67" s="5">
        <f>13334.08959898261</f>
        <v>13334.08959898261</v>
      </c>
      <c r="E67" s="5">
        <f>15406.062734797975</f>
        <v>15406.062734797975</v>
      </c>
      <c r="F67" s="5">
        <f>16007.149105197095</f>
        <v>16007.149105197095</v>
      </c>
      <c r="G67" s="5">
        <f>16620.257203004207</f>
        <v>16620.257203004207</v>
      </c>
      <c r="H67" s="5">
        <f>17245.627462767472</f>
        <v>17245.627462767472</v>
      </c>
      <c r="I67" s="5">
        <f>17883.505127725977</f>
        <v>17883.505127725977</v>
      </c>
      <c r="J67" s="5">
        <f>18534.140345983673</f>
        <v>18534.140345983673</v>
      </c>
      <c r="K67" s="5">
        <f>19197.788268606513</f>
        <v>19197.788268606513</v>
      </c>
      <c r="L67" s="5">
        <f>19874.709149681803</f>
        <v>19874.709149681803</v>
      </c>
    </row>
    <row r="68" spans="1:12" x14ac:dyDescent="0.25">
      <c r="A68" t="s">
        <v>231</v>
      </c>
      <c r="C68" s="5">
        <f>IF(1=10,1490598.49559654,0)</f>
        <v>0</v>
      </c>
      <c r="D68" s="5">
        <f>IF(2=10,1490598.49559654,0)</f>
        <v>0</v>
      </c>
      <c r="E68" s="5">
        <f>IF(3=10,1490598.49559654,0)</f>
        <v>0</v>
      </c>
      <c r="F68" s="5">
        <f>IF(4=10,1490598.49559654,0)</f>
        <v>0</v>
      </c>
      <c r="G68" s="5">
        <f>IF(5=10,1490598.49559654,0)</f>
        <v>0</v>
      </c>
      <c r="H68" s="5">
        <f>IF(6=10,1490598.49559654,0)</f>
        <v>0</v>
      </c>
      <c r="I68" s="5">
        <f>IF(7=10,1490598.49559654,0)</f>
        <v>0</v>
      </c>
      <c r="J68" s="5">
        <f>IF(8=10,1490598.49559654,0)</f>
        <v>0</v>
      </c>
      <c r="K68" s="5">
        <f>IF(9=10,1490598.49559654,0)</f>
        <v>0</v>
      </c>
      <c r="L68" s="5">
        <f>IF(10=10,1490598.49559654,0)</f>
        <v>1490598.49559654</v>
      </c>
    </row>
    <row r="69" spans="1:12" x14ac:dyDescent="0.25">
      <c r="A69" t="s">
        <v>232</v>
      </c>
      <c r="C69" s="5">
        <f>IF(1=10,584229.1901188369,0)</f>
        <v>0</v>
      </c>
      <c r="D69" s="5">
        <f>IF(2=10,584229.1901188369,0)</f>
        <v>0</v>
      </c>
      <c r="E69" s="5">
        <f>IF(3=10,584229.1901188369,0)</f>
        <v>0</v>
      </c>
      <c r="F69" s="5">
        <f>IF(4=10,584229.1901188369,0)</f>
        <v>0</v>
      </c>
      <c r="G69" s="5">
        <f>IF(5=10,584229.1901188369,0)</f>
        <v>0</v>
      </c>
      <c r="H69" s="5">
        <f>IF(6=10,584229.1901188369,0)</f>
        <v>0</v>
      </c>
      <c r="I69" s="5">
        <f>IF(7=10,584229.1901188369,0)</f>
        <v>0</v>
      </c>
      <c r="J69" s="5">
        <f>IF(8=10,584229.1901188369,0)</f>
        <v>0</v>
      </c>
      <c r="K69" s="5">
        <f>IF(9=10,584229.1901188369,0)</f>
        <v>0</v>
      </c>
      <c r="L69" s="5">
        <f>IF(10=10,584229.1901188369,0)</f>
        <v>584229.1901188369</v>
      </c>
    </row>
    <row r="70" spans="1:12" x14ac:dyDescent="0.25">
      <c r="A70" t="s">
        <v>233</v>
      </c>
      <c r="C70" s="5">
        <f>(C56+C57)*(1-gp_pct)</f>
        <v>45074.4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  <c r="J70" s="5">
        <f>(J56+J57)*(1-gp_pct)</f>
        <v>0</v>
      </c>
      <c r="K70" s="5">
        <f>(K56+K57)*(1-gp_pct)</f>
        <v>0</v>
      </c>
      <c r="L70" s="5">
        <f>(L56+L57)*(1-gp_pct)</f>
        <v>0</v>
      </c>
    </row>
    <row r="71" spans="1:12" x14ac:dyDescent="0.25">
      <c r="A71" t="s">
        <v>234</v>
      </c>
      <c r="C71" s="5">
        <f>(C56+C57)*gp_pct</f>
        <v>11268.599999999997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  <c r="J71" s="5">
        <f>(J56+J57)*gp_pct</f>
        <v>0</v>
      </c>
      <c r="K71" s="5">
        <f>(K56+K57)*gp_pct</f>
        <v>0</v>
      </c>
      <c r="L71" s="5">
        <f>(L56+L57)*gp_pct</f>
        <v>0</v>
      </c>
    </row>
    <row r="72" spans="1:12" x14ac:dyDescent="0.25">
      <c r="A72" s="3" t="s">
        <v>235</v>
      </c>
      <c r="C72" s="5">
        <f>SUM(C66:C71)</f>
        <v>102808.40975870044</v>
      </c>
      <c r="D72" s="5">
        <f>SUM(D66:D71)</f>
        <v>66670.44799491305</v>
      </c>
      <c r="E72" s="5">
        <f>SUM(E66:E71)</f>
        <v>77030.31367398989</v>
      </c>
      <c r="F72" s="5">
        <f>SUM(F66:F71)</f>
        <v>80035.74552598549</v>
      </c>
      <c r="G72" s="5">
        <f>SUM(G66:G71)</f>
        <v>83101.28601502103</v>
      </c>
      <c r="H72" s="5">
        <f>SUM(H66:H71)</f>
        <v>86228.13731383739</v>
      </c>
      <c r="I72" s="5">
        <f>SUM(I66:I71)</f>
        <v>89417.52563862992</v>
      </c>
      <c r="J72" s="5">
        <f>SUM(J66:J71)</f>
        <v>92670.7017299184</v>
      </c>
      <c r="K72" s="5">
        <f>SUM(K66:K71)</f>
        <v>95988.94134303261</v>
      </c>
      <c r="L72" s="5">
        <f>SUM(L66:L71)</f>
        <v>2174201.2314637857</v>
      </c>
    </row>
    <row r="74" spans="1:12" x14ac:dyDescent="0.25">
      <c r="A74" t="s">
        <v>236</v>
      </c>
      <c r="C74" s="5">
        <f>C55+C56+C57+C64</f>
        <v>102808.40975870044</v>
      </c>
      <c r="D74" s="5">
        <f>D55+D56+D57+D64</f>
        <v>66670.44799491305</v>
      </c>
      <c r="E74" s="5">
        <f>E55+E56+E57+E64</f>
        <v>77030.31367398989</v>
      </c>
      <c r="F74" s="5">
        <f>F55+F56+F57+F64</f>
        <v>80035.74552598549</v>
      </c>
      <c r="G74" s="5">
        <f>G55+G56+G57+G64</f>
        <v>83101.28601502103</v>
      </c>
      <c r="H74" s="5">
        <f>H55+H56+H57+H64</f>
        <v>86228.13731383739</v>
      </c>
      <c r="I74" s="5">
        <f>I55+I56+I57+I64</f>
        <v>89417.52563862992</v>
      </c>
      <c r="J74" s="5">
        <f>J55+J56+J57+J64</f>
        <v>92670.7017299184</v>
      </c>
      <c r="K74" s="5">
        <f>K55+K56+K57+K64</f>
        <v>95988.94134303261</v>
      </c>
      <c r="L74" s="5">
        <f>L55+L56+L57+L64</f>
        <v>2174201.2314637857</v>
      </c>
    </row>
    <row r="75" spans="1:12" x14ac:dyDescent="0.25">
      <c r="A75" t="s">
        <v>237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  <c r="J75" s="5">
        <f>J74-J72</f>
        <v>0</v>
      </c>
      <c r="K75" s="5">
        <f>K74-K72</f>
        <v>0</v>
      </c>
      <c r="L75" s="5">
        <f>L74-L72</f>
        <v>0</v>
      </c>
    </row>
    <row r="77" spans="1:12" x14ac:dyDescent="0.25">
      <c r="A77" t="s">
        <v>238</v>
      </c>
      <c r="B77" s="5">
        <f>-B48</f>
        <v>-782734.5632653062</v>
      </c>
      <c r="C77" s="5">
        <f>C66+C68+C70</f>
        <v>82246.72780696035</v>
      </c>
      <c r="D77" s="5">
        <f>D66+D68+D70</f>
        <v>53336.35839593044</v>
      </c>
      <c r="E77" s="5">
        <f>E66+E68+E70</f>
        <v>61624.250939191916</v>
      </c>
      <c r="F77" s="5">
        <f>F66+F68+F70</f>
        <v>64028.596420788395</v>
      </c>
      <c r="G77" s="5">
        <f>G66+G68+G70</f>
        <v>66481.02881201683</v>
      </c>
      <c r="H77" s="5">
        <f>H66+H68+H70</f>
        <v>68982.50985106992</v>
      </c>
      <c r="I77" s="5">
        <f>I66+I68+I70</f>
        <v>71534.02051090394</v>
      </c>
      <c r="J77" s="5">
        <f>J66+J68+J70</f>
        <v>74136.56138393472</v>
      </c>
      <c r="K77" s="5">
        <f>K66+K68+K70</f>
        <v>76791.1530744261</v>
      </c>
      <c r="L77" s="5">
        <f>L66+L68+L70</f>
        <v>1570097.332195267</v>
      </c>
    </row>
    <row r="78" spans="1:12" x14ac:dyDescent="0.25">
      <c r="A78" t="s">
        <v>239</v>
      </c>
      <c r="B78" s="5">
        <f>B77</f>
        <v>-782734.5632653062</v>
      </c>
      <c r="C78" s="5">
        <f>B78+C77</f>
        <v>-700487.8354583458</v>
      </c>
      <c r="D78" s="5">
        <f>C78+D77</f>
        <v>-647151.4770624153</v>
      </c>
      <c r="E78" s="5">
        <f>D78+E77</f>
        <v>-585527.2261232234</v>
      </c>
      <c r="F78" s="5">
        <f>E78+F77</f>
        <v>-521498.62970243505</v>
      </c>
      <c r="G78" s="5">
        <f>F78+G77</f>
        <v>-455017.6008904182</v>
      </c>
      <c r="H78" s="5">
        <f>G78+H77</f>
        <v>-386035.0910393483</v>
      </c>
      <c r="I78" s="5">
        <f>H78+I77</f>
        <v>-314501.07052844437</v>
      </c>
      <c r="J78" s="5">
        <f>I78+J77</f>
        <v>-240364.50914450965</v>
      </c>
      <c r="K78" s="5">
        <f>J78+K77</f>
        <v>-163573.35607008357</v>
      </c>
      <c r="L78" s="5">
        <f>K78+L77</f>
        <v>1406523.9761251835</v>
      </c>
    </row>
    <row r="81" spans="1:1" x14ac:dyDescent="0.25">
      <c r="A81" s="3" t="s">
        <v>241</v>
      </c>
    </row>
    <row r="82" spans="2:12" x14ac:dyDescent="0.25">
      <c r="B82" s="3" t="s">
        <v>220</v>
      </c>
      <c r="C82" s="3" t="s">
        <v>152</v>
      </c>
      <c r="D82" s="3" t="s">
        <v>153</v>
      </c>
      <c r="E82" s="3" t="s">
        <v>154</v>
      </c>
      <c r="F82" s="3" t="s">
        <v>155</v>
      </c>
      <c r="G82" s="3" t="s">
        <v>156</v>
      </c>
      <c r="H82" s="3" t="s">
        <v>157</v>
      </c>
      <c r="I82" s="3" t="s">
        <v>158</v>
      </c>
      <c r="J82" s="3" t="s">
        <v>159</v>
      </c>
      <c r="K82" s="3" t="s">
        <v>160</v>
      </c>
      <c r="L82" s="3" t="s">
        <v>161</v>
      </c>
    </row>
    <row r="83" spans="1:2" x14ac:dyDescent="0.25">
      <c r="A83" t="s">
        <v>221</v>
      </c>
      <c r="B83" s="5">
        <f>-IF(Assumptions!$D$47&gt;0,tpc,cost_base)</f>
        <v>-1798775.5102040817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-26374.9387755102</v>
      </c>
    </row>
    <row r="85" spans="1:2" x14ac:dyDescent="0.25">
      <c r="A85" t="s">
        <v>17</v>
      </c>
      <c r="B85" s="5">
        <f>-vat_float</f>
        <v>-56343</v>
      </c>
    </row>
    <row r="86" spans="1:2" x14ac:dyDescent="0.25">
      <c r="A86" t="s">
        <v>222</v>
      </c>
      <c r="B86" s="5">
        <f>Assumptions!$D$47*tpc</f>
        <v>1079265.306122449</v>
      </c>
    </row>
    <row r="87" spans="1:2" x14ac:dyDescent="0.25">
      <c r="A87" t="s">
        <v>223</v>
      </c>
      <c r="B87" s="5">
        <f>(-(B83+B86+B84)-B85)*(1-gp_pct)</f>
        <v>641782.5142857144</v>
      </c>
    </row>
    <row r="88" spans="1:2" x14ac:dyDescent="0.25">
      <c r="A88" t="s">
        <v>224</v>
      </c>
      <c r="B88" s="5">
        <f>(-(B83+B86+B84)-B85)*gp_pct</f>
        <v>160445.6285714286</v>
      </c>
    </row>
    <row r="89" spans="1:2" x14ac:dyDescent="0.25">
      <c r="A89" s="3" t="s">
        <v>225</v>
      </c>
      <c r="B89" s="5">
        <f>SUM(B83:B88)</f>
        <v>0</v>
      </c>
    </row>
    <row r="91" spans="1:12" x14ac:dyDescent="0.25">
      <c r="A91" t="s">
        <v>190</v>
      </c>
      <c r="C91" s="5">
        <f>'P&amp;L'!C32</f>
        <v>119706.68868449249</v>
      </c>
      <c r="D91" s="5">
        <f>'P&amp;L'!D32</f>
        <v>139911.7269207051</v>
      </c>
      <c r="E91" s="5">
        <f>'P&amp;L'!E32</f>
        <v>150271.59259978196</v>
      </c>
      <c r="F91" s="5">
        <f>'P&amp;L'!F32</f>
        <v>153277.02445177757</v>
      </c>
      <c r="G91" s="5">
        <f>'P&amp;L'!G32</f>
        <v>156342.56494081308</v>
      </c>
      <c r="H91" s="5">
        <f>'P&amp;L'!H32</f>
        <v>159469.41623962944</v>
      </c>
      <c r="I91" s="5">
        <f>'P&amp;L'!I32</f>
        <v>162658.804564422</v>
      </c>
      <c r="J91" s="5">
        <f>'P&amp;L'!J32</f>
        <v>165911.98065571045</v>
      </c>
      <c r="K91" s="5">
        <f>'P&amp;L'!K32</f>
        <v>169230.22026882466</v>
      </c>
      <c r="L91" s="5">
        <f>'P&amp;L'!L32</f>
        <v>172614.82467420114</v>
      </c>
    </row>
    <row r="92" spans="1:12" x14ac:dyDescent="0.25">
      <c r="A92" t="s">
        <v>195</v>
      </c>
      <c r="C92" s="5">
        <f>IF(B86=0,0,CUMIPMT(Assumptions!$D$48/12,Assumptions!$D$49*12,B86,1,12,0))</f>
        <v>-28940.477124248606</v>
      </c>
      <c r="D92" s="5">
        <f>IF(B86=0,0,CUMIPMT(Assumptions!$D$48/12,Assumptions!$D$49*12,B86,13,24,0))</f>
        <v>-27298.78854743808</v>
      </c>
      <c r="E92" s="5">
        <f>IF(B86=0,0,CUMIPMT(Assumptions!$D$48/12,Assumptions!$D$49*12,B86,25,36,0))</f>
        <v>-25611.38013228636</v>
      </c>
      <c r="F92" s="5">
        <f>IF(B86=0,0,CUMIPMT(Assumptions!$D$48/12,Assumptions!$D$49*12,B86,37,48,0))</f>
        <v>-23876.978614395135</v>
      </c>
      <c r="G92" s="5">
        <f>IF(B86=0,0,CUMIPMT(Assumptions!$D$48/12,Assumptions!$D$49*12,B86,49,60,0))</f>
        <v>-22094.27526987442</v>
      </c>
      <c r="H92" s="5">
        <f>IF(B86=0,0,CUMIPMT(Assumptions!$D$48/12,Assumptions!$D$49*12,B86,61,72,0))</f>
        <v>-20261.924927821347</v>
      </c>
      <c r="I92" s="5">
        <f>IF(B86=0,0,CUMIPMT(Assumptions!$D$48/12,Assumptions!$D$49*12,B86,73,84,0))</f>
        <v>-18378.54495529727</v>
      </c>
      <c r="J92" s="5">
        <f>IF(B86=0,0,CUMIPMT(Assumptions!$D$48/12,Assumptions!$D$49*12,B86,85,96,0))</f>
        <v>-16442.71421403718</v>
      </c>
      <c r="K92" s="5">
        <f>IF(B86=0,0,CUMIPMT(Assumptions!$D$48/12,Assumptions!$D$49*12,B86,97,108,0))</f>
        <v>-14452.971988104213</v>
      </c>
      <c r="L92" s="5">
        <f>IF(B86=0,0,CUMIPMT(Assumptions!$D$48/12,Assumptions!$D$49*12,B86,109,120,0))</f>
        <v>-12407.816881680206</v>
      </c>
    </row>
    <row r="93" spans="1:12" x14ac:dyDescent="0.25">
      <c r="A93" t="s">
        <v>196</v>
      </c>
      <c r="C93" s="5">
        <f>IF(B86=0,0,CUMPRINC(Assumptions!$D$48/12,Assumptions!$D$49*12,B86,1,12,0))</f>
        <v>-58949.05758670189</v>
      </c>
      <c r="D93" s="5">
        <f>IF(B86=0,0,CUMPRINC(Assumptions!$D$48/12,Assumptions!$D$49*12,B86,13,24,0))</f>
        <v>-60590.74616351242</v>
      </c>
      <c r="E93" s="5">
        <f>IF(B86=0,0,CUMPRINC(Assumptions!$D$48/12,Assumptions!$D$49*12,B86,25,36,0))</f>
        <v>-62278.154578664136</v>
      </c>
      <c r="F93" s="5">
        <f>IF(B86=0,0,CUMPRINC(Assumptions!$D$48/12,Assumptions!$D$49*12,B86,37,48,0))</f>
        <v>-64012.55609655536</v>
      </c>
      <c r="G93" s="5">
        <f>IF(B86=0,0,CUMPRINC(Assumptions!$D$48/12,Assumptions!$D$49*12,B86,49,60,0))</f>
        <v>-65795.25944107608</v>
      </c>
      <c r="H93" s="5">
        <f>IF(B86=0,0,CUMPRINC(Assumptions!$D$48/12,Assumptions!$D$49*12,B86,61,72,0))</f>
        <v>-67627.60978312916</v>
      </c>
      <c r="I93" s="5">
        <f>IF(B86=0,0,CUMPRINC(Assumptions!$D$48/12,Assumptions!$D$49*12,B86,73,84,0))</f>
        <v>-69510.98975565322</v>
      </c>
      <c r="J93" s="5">
        <f>IF(B86=0,0,CUMPRINC(Assumptions!$D$48/12,Assumptions!$D$49*12,B86,85,96,0))</f>
        <v>-71446.82049691332</v>
      </c>
      <c r="K93" s="5">
        <f>IF(B86=0,0,CUMPRINC(Assumptions!$D$48/12,Assumptions!$D$49*12,B86,97,108,0))</f>
        <v>-73436.56272284628</v>
      </c>
      <c r="L93" s="5">
        <f>IF(B86=0,0,CUMPRINC(Assumptions!$D$48/12,Assumptions!$D$49*12,B86,109,120,0))</f>
        <v>-75481.71782927029</v>
      </c>
    </row>
    <row r="94" spans="1:12" x14ac:dyDescent="0.25">
      <c r="A94" t="s">
        <v>226</v>
      </c>
      <c r="C94" s="5">
        <f>C91+C92+C93</f>
        <v>31817.153973541994</v>
      </c>
      <c r="D94" s="5">
        <f>D91+D92+D93</f>
        <v>52022.19220975462</v>
      </c>
      <c r="E94" s="5">
        <f>E91+E92+E93</f>
        <v>62382.05788883146</v>
      </c>
      <c r="F94" s="5">
        <f>F91+F92+F93</f>
        <v>65387.48974082708</v>
      </c>
      <c r="G94" s="5">
        <f>G91+G92+G93</f>
        <v>68453.03022986258</v>
      </c>
      <c r="H94" s="5">
        <f>H91+H92+H93</f>
        <v>71579.88152867893</v>
      </c>
      <c r="I94" s="5">
        <f>I91+I92+I93</f>
        <v>74769.26985347152</v>
      </c>
      <c r="J94" s="5">
        <f>J91+J92+J93</f>
        <v>78022.44594475995</v>
      </c>
      <c r="K94" s="5">
        <f>K91+K92+K93</f>
        <v>81340.68555787415</v>
      </c>
      <c r="L94" s="5">
        <f>L91+L92+L93</f>
        <v>84725.28996325063</v>
      </c>
    </row>
    <row r="95" spans="1:12" x14ac:dyDescent="0.25">
      <c r="A95" t="s">
        <v>227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  <c r="H95" s="5">
        <f>0</f>
        <v>0</v>
      </c>
      <c r="I95" s="5">
        <f>0</f>
        <v>0</v>
      </c>
      <c r="J95" s="5">
        <f>0</f>
        <v>0</v>
      </c>
      <c r="K95" s="5">
        <f>0</f>
        <v>0</v>
      </c>
      <c r="L95" s="5">
        <f>0</f>
        <v>0</v>
      </c>
    </row>
    <row r="96" spans="1:12" x14ac:dyDescent="0.25">
      <c r="A96" t="s">
        <v>228</v>
      </c>
      <c r="C96" s="5">
        <f>IF(1=MIN(MAX(1,ROUNDUP(vat_months/12,0)),10),-B85,0)</f>
        <v>56343</v>
      </c>
      <c r="D96" s="5">
        <f>IF(2=MIN(MAX(1,ROUNDUP(vat_months/12,0)),10),-B85,0)</f>
        <v>0</v>
      </c>
      <c r="E96" s="5">
        <f>IF(3=MIN(MAX(1,ROUNDUP(vat_months/12,0)),10),-B85,0)</f>
        <v>0</v>
      </c>
      <c r="F96" s="5">
        <f>IF(4=MIN(MAX(1,ROUNDUP(vat_months/12,0)),10),-B85,0)</f>
        <v>0</v>
      </c>
      <c r="G96" s="5">
        <f>IF(5=MIN(MAX(1,ROUNDUP(vat_months/12,0)),10),-B85,0)</f>
        <v>0</v>
      </c>
      <c r="H96" s="5">
        <f>IF(6=MIN(MAX(1,ROUNDUP(vat_months/12,0)),10),-B85,0)</f>
        <v>0</v>
      </c>
      <c r="I96" s="5">
        <f>IF(7=MIN(MAX(1,ROUNDUP(vat_months/12,0)),10),-B85,0)</f>
        <v>0</v>
      </c>
      <c r="J96" s="5">
        <f>IF(8=MIN(MAX(1,ROUNDUP(vat_months/12,0)),10),-B85,0)</f>
        <v>0</v>
      </c>
      <c r="K96" s="5">
        <f>IF(9=MIN(MAX(1,ROUNDUP(vat_months/12,0)),10),-B85,0)</f>
        <v>0</v>
      </c>
      <c r="L96" s="5">
        <f>IF(10=MIN(MAX(1,ROUNDUP(vat_months/12,0)),10),-B85,0)</f>
        <v>0</v>
      </c>
    </row>
    <row r="97" spans="1:12" x14ac:dyDescent="0.25">
      <c r="A97" t="s">
        <v>229</v>
      </c>
      <c r="C97" s="5">
        <f>C94+C95+C96</f>
        <v>88160.153973542</v>
      </c>
      <c r="D97" s="5">
        <f>C97+D94+D95+D96</f>
        <v>140182.3461832966</v>
      </c>
      <c r="E97" s="5">
        <f>D97+E94+E95+E96</f>
        <v>202564.40407212806</v>
      </c>
      <c r="F97" s="5">
        <f>E97+F94+F95+F96</f>
        <v>267951.8938129551</v>
      </c>
      <c r="G97" s="5">
        <f>F97+G94+G95+G96</f>
        <v>336404.92404281767</v>
      </c>
      <c r="H97" s="5">
        <f>G97+H94+H95+H96</f>
        <v>407984.8055714966</v>
      </c>
      <c r="I97" s="5">
        <f>H97+I94+I95+I96</f>
        <v>482754.07542496815</v>
      </c>
      <c r="J97" s="5">
        <f>I97+J94+J95+J96</f>
        <v>560776.5213697281</v>
      </c>
      <c r="K97" s="5">
        <f>J97+K94+K95+K96</f>
        <v>642117.2069276023</v>
      </c>
      <c r="L97" s="5">
        <f>K97+L94+L95+L96</f>
        <v>726842.4968908529</v>
      </c>
    </row>
    <row r="98" spans="1:12" x14ac:dyDescent="0.25">
      <c r="A98" t="s">
        <v>230</v>
      </c>
      <c r="C98" s="7">
        <f>IF((C92+C93)=0,0,-C91/(C92+C93))</f>
        <v>1.3620129982276237</v>
      </c>
      <c r="D98" s="7">
        <f>IF((D92+D93)=0,0,-D91/(D92+D93))</f>
        <v>1.5919042850874596</v>
      </c>
      <c r="E98" s="7">
        <f>IF((E92+E93)=0,0,-E91/(E92+E93))</f>
        <v>1.7097779968228577</v>
      </c>
      <c r="F98" s="7">
        <f>IF((F92+F93)=0,0,-F91/(F92+F93))</f>
        <v>1.7439735567593146</v>
      </c>
      <c r="G98" s="7">
        <f>IF((G92+G93)=0,0,-G91/(G92+G93))</f>
        <v>1.7788530278945005</v>
      </c>
      <c r="H98" s="7">
        <f>IF((H92+H93)=0,0,-H91/(H92+H93))</f>
        <v>1.8144300884523912</v>
      </c>
      <c r="I98" s="7">
        <f>IF((I92+I93)=0,0,-I91/(I92+I93))</f>
        <v>1.850718690221439</v>
      </c>
      <c r="J98" s="7">
        <f>IF((J92+J93)=0,0,-J91/(J92+J93))</f>
        <v>1.8877330640258676</v>
      </c>
      <c r="K98" s="7">
        <f>IF((K92+K93)=0,0,-K91/(K92+K93))</f>
        <v>1.9254877253063853</v>
      </c>
      <c r="L98" s="7">
        <f>IF((L92+L93)=0,0,-L91/(L92+L93))</f>
        <v>1.9639974798125128</v>
      </c>
    </row>
    <row r="100" spans="1:12" x14ac:dyDescent="0.25">
      <c r="A100" t="s">
        <v>26</v>
      </c>
      <c r="C100" s="5">
        <f>IF(1=10,'P&amp;L'!L32/cap,0)</f>
        <v>0</v>
      </c>
      <c r="D100" s="5">
        <f>IF(2=10,'P&amp;L'!L32/cap,0)</f>
        <v>0</v>
      </c>
      <c r="E100" s="5">
        <f>IF(3=10,'P&amp;L'!L32/cap,0)</f>
        <v>0</v>
      </c>
      <c r="F100" s="5">
        <f>IF(4=10,'P&amp;L'!L32/cap,0)</f>
        <v>0</v>
      </c>
      <c r="G100" s="5">
        <f>IF(5=10,'P&amp;L'!L32/cap,0)</f>
        <v>0</v>
      </c>
      <c r="H100" s="5">
        <f>IF(6=10,'P&amp;L'!L32/cap,0)</f>
        <v>0</v>
      </c>
      <c r="I100" s="5">
        <f>IF(7=10,'P&amp;L'!L32/cap,0)</f>
        <v>0</v>
      </c>
      <c r="J100" s="5">
        <f>IF(8=10,'P&amp;L'!L32/cap,0)</f>
        <v>0</v>
      </c>
      <c r="K100" s="5">
        <f>IF(9=10,'P&amp;L'!L32/cap,0)</f>
        <v>0</v>
      </c>
      <c r="L100" s="5">
        <f>IF(10=10,'P&amp;L'!L32/cap,0)</f>
        <v>2465926.0667743017</v>
      </c>
    </row>
    <row r="101" spans="1:12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0</v>
      </c>
      <c r="H101" s="5">
        <f>-H100*sell_pct</f>
        <v>0</v>
      </c>
      <c r="I101" s="5">
        <f>-I100*sell_pct</f>
        <v>0</v>
      </c>
      <c r="J101" s="5">
        <f>-J100*sell_pct</f>
        <v>0</v>
      </c>
      <c r="K101" s="5">
        <f>-K100*sell_pct</f>
        <v>0</v>
      </c>
      <c r="L101" s="5">
        <f>-L100*sell_pct</f>
        <v>-49318.52133548586</v>
      </c>
    </row>
    <row r="102" spans="1:12" x14ac:dyDescent="0.25">
      <c r="A102" t="s">
        <v>28</v>
      </c>
      <c r="C102" s="5">
        <f>IF(1&lt;10,0,IF(B86=0,0,-(B86+CUMPRINC(Assumptions!$D$48/12,Assumptions!$D$49*12,B86,1,120,0))))</f>
        <v>0</v>
      </c>
      <c r="D102" s="5">
        <f>IF(2&lt;10,0,IF(B86=0,0,-(B86+CUMPRINC(Assumptions!$D$48/12,Assumptions!$D$49*12,B86,1,120,0))))</f>
        <v>0</v>
      </c>
      <c r="E102" s="5">
        <f>IF(3&lt;10,0,IF(B86=0,0,-(B86+CUMPRINC(Assumptions!$D$48/12,Assumptions!$D$49*12,B86,1,120,0))))</f>
        <v>0</v>
      </c>
      <c r="F102" s="5">
        <f>IF(4&lt;10,0,IF(B86=0,0,-(B86+CUMPRINC(Assumptions!$D$48/12,Assumptions!$D$49*12,B86,1,120,0))))</f>
        <v>0</v>
      </c>
      <c r="G102" s="5">
        <f>IF(5&lt;10,0,IF(B86=0,0,-(B86+CUMPRINC(Assumptions!$D$48/12,Assumptions!$D$49*12,B86,1,120,0))))</f>
        <v>0</v>
      </c>
      <c r="H102" s="5">
        <f>IF(6&lt;10,0,IF(B86=0,0,-(B86+CUMPRINC(Assumptions!$D$48/12,Assumptions!$D$49*12,B86,1,120,0))))</f>
        <v>0</v>
      </c>
      <c r="I102" s="5">
        <f>IF(7&lt;10,0,IF(B86=0,0,-(B86+CUMPRINC(Assumptions!$D$48/12,Assumptions!$D$49*12,B86,1,120,0))))</f>
        <v>0</v>
      </c>
      <c r="J102" s="5">
        <f>IF(8&lt;10,0,IF(B86=0,0,-(B86+CUMPRINC(Assumptions!$D$48/12,Assumptions!$D$49*12,B86,1,120,0))))</f>
        <v>0</v>
      </c>
      <c r="K102" s="5">
        <f>IF(9&lt;10,0,IF(B86=0,0,-(B86+CUMPRINC(Assumptions!$D$48/12,Assumptions!$D$49*12,B86,1,120,0))))</f>
        <v>0</v>
      </c>
      <c r="L102" s="5">
        <f>IF(10&lt;10,0,IF(B86=0,0,-(B86+CUMPRINC(Assumptions!$D$48/12,Assumptions!$D$49*12,B86,1,120,0))))</f>
        <v>-410135.83166812675</v>
      </c>
    </row>
    <row r="103" spans="1:12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0</v>
      </c>
      <c r="H103" s="5">
        <f>H100+H101+H102</f>
        <v>0</v>
      </c>
      <c r="I103" s="5">
        <f>I100+I101+I102</f>
        <v>0</v>
      </c>
      <c r="J103" s="5">
        <f>J100+J101+J102</f>
        <v>0</v>
      </c>
      <c r="K103" s="5">
        <f>K100+K101+K102</f>
        <v>0</v>
      </c>
      <c r="L103" s="5">
        <f>L100+L101+L102</f>
        <v>2006471.713770689</v>
      </c>
    </row>
    <row r="105" spans="1:12" x14ac:dyDescent="0.25">
      <c r="A105" t="s">
        <v>205</v>
      </c>
      <c r="C105" s="5">
        <f>25453.723178833592</f>
        <v>25453.723178833592</v>
      </c>
      <c r="D105" s="5">
        <f>41617.75376780369</f>
        <v>41617.75376780369</v>
      </c>
      <c r="E105" s="5">
        <f>49905.64631106517</f>
        <v>49905.64631106517</v>
      </c>
      <c r="F105" s="5">
        <f>52309.991792661654</f>
        <v>52309.991792661654</v>
      </c>
      <c r="G105" s="5">
        <f>54762.424183890056</f>
        <v>54762.424183890056</v>
      </c>
      <c r="H105" s="5">
        <f>57263.90522294314</f>
        <v>57263.90522294314</v>
      </c>
      <c r="I105" s="5">
        <f>59815.41588277721</f>
        <v>59815.41588277721</v>
      </c>
      <c r="J105" s="5">
        <f>62417.95675580796</f>
        <v>62417.95675580796</v>
      </c>
      <c r="K105" s="5">
        <f>65072.54844629932</f>
        <v>65072.54844629932</v>
      </c>
      <c r="L105" s="5">
        <f>67780.2319706005</f>
        <v>67780.2319706005</v>
      </c>
    </row>
    <row r="106" spans="1:12" x14ac:dyDescent="0.25">
      <c r="A106" t="s">
        <v>206</v>
      </c>
      <c r="C106" s="5">
        <f>6363.430794708402</f>
        <v>6363.430794708402</v>
      </c>
      <c r="D106" s="5">
        <f>10404.43844195093</f>
        <v>10404.43844195093</v>
      </c>
      <c r="E106" s="5">
        <f>12476.411577766296</f>
        <v>12476.411577766296</v>
      </c>
      <c r="F106" s="5">
        <f>13077.497948165423</f>
        <v>13077.497948165423</v>
      </c>
      <c r="G106" s="5">
        <f>13690.60604597252</f>
        <v>13690.60604597252</v>
      </c>
      <c r="H106" s="5">
        <f>14315.976305735792</f>
        <v>14315.976305735792</v>
      </c>
      <c r="I106" s="5">
        <f>14953.853970694305</f>
        <v>14953.853970694305</v>
      </c>
      <c r="J106" s="5">
        <f>15604.489188951993</f>
        <v>15604.489188951993</v>
      </c>
      <c r="K106" s="5">
        <f>16268.137111574833</f>
        <v>16268.137111574833</v>
      </c>
      <c r="L106" s="5">
        <f>16945.057992650138</f>
        <v>16945.057992650138</v>
      </c>
    </row>
    <row r="107" spans="1:12" x14ac:dyDescent="0.25">
      <c r="A107" t="s">
        <v>231</v>
      </c>
      <c r="C107" s="5">
        <f>IF(1=10,1402008.3504608362,0)</f>
        <v>0</v>
      </c>
      <c r="D107" s="5">
        <f>IF(2=10,1402008.3504608362,0)</f>
        <v>0</v>
      </c>
      <c r="E107" s="5">
        <f>IF(3=10,1402008.3504608362,0)</f>
        <v>0</v>
      </c>
      <c r="F107" s="5">
        <f>IF(4=10,1402008.3504608362,0)</f>
        <v>0</v>
      </c>
      <c r="G107" s="5">
        <f>IF(5=10,1402008.3504608362,0)</f>
        <v>0</v>
      </c>
      <c r="H107" s="5">
        <f>IF(6=10,1402008.3504608362,0)</f>
        <v>0</v>
      </c>
      <c r="I107" s="5">
        <f>IF(7=10,1402008.3504608362,0)</f>
        <v>0</v>
      </c>
      <c r="J107" s="5">
        <f>IF(8=10,1402008.3504608362,0)</f>
        <v>0</v>
      </c>
      <c r="K107" s="5">
        <f>IF(9=10,1402008.3504608362,0)</f>
        <v>0</v>
      </c>
      <c r="L107" s="5">
        <f>IF(10=10,1402008.3504608362,0)</f>
        <v>1402008.3504608362</v>
      </c>
    </row>
    <row r="108" spans="1:12" x14ac:dyDescent="0.25">
      <c r="A108" t="s">
        <v>232</v>
      </c>
      <c r="C108" s="5">
        <f>IF(1=10,604463.3633098528,0)</f>
        <v>0</v>
      </c>
      <c r="D108" s="5">
        <f>IF(2=10,604463.3633098528,0)</f>
        <v>0</v>
      </c>
      <c r="E108" s="5">
        <f>IF(3=10,604463.3633098528,0)</f>
        <v>0</v>
      </c>
      <c r="F108" s="5">
        <f>IF(4=10,604463.3633098528,0)</f>
        <v>0</v>
      </c>
      <c r="G108" s="5">
        <f>IF(5=10,604463.3633098528,0)</f>
        <v>0</v>
      </c>
      <c r="H108" s="5">
        <f>IF(6=10,604463.3633098528,0)</f>
        <v>0</v>
      </c>
      <c r="I108" s="5">
        <f>IF(7=10,604463.3633098528,0)</f>
        <v>0</v>
      </c>
      <c r="J108" s="5">
        <f>IF(8=10,604463.3633098528,0)</f>
        <v>0</v>
      </c>
      <c r="K108" s="5">
        <f>IF(9=10,604463.3633098528,0)</f>
        <v>0</v>
      </c>
      <c r="L108" s="5">
        <f>IF(10=10,604463.3633098528,0)</f>
        <v>604463.3633098528</v>
      </c>
    </row>
    <row r="109" spans="1:12" x14ac:dyDescent="0.25">
      <c r="A109" t="s">
        <v>233</v>
      </c>
      <c r="C109" s="5">
        <f>(C95+C96)*(1-gp_pct)</f>
        <v>45074.4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  <c r="H109" s="5">
        <f>(H95+H96)*(1-gp_pct)</f>
        <v>0</v>
      </c>
      <c r="I109" s="5">
        <f>(I95+I96)*(1-gp_pct)</f>
        <v>0</v>
      </c>
      <c r="J109" s="5">
        <f>(J95+J96)*(1-gp_pct)</f>
        <v>0</v>
      </c>
      <c r="K109" s="5">
        <f>(K95+K96)*(1-gp_pct)</f>
        <v>0</v>
      </c>
      <c r="L109" s="5">
        <f>(L95+L96)*(1-gp_pct)</f>
        <v>0</v>
      </c>
    </row>
    <row r="110" spans="1:12" x14ac:dyDescent="0.25">
      <c r="A110" t="s">
        <v>234</v>
      </c>
      <c r="C110" s="5">
        <f>(C95+C96)*gp_pct</f>
        <v>11268.599999999997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  <c r="H110" s="5">
        <f>(H95+H96)*gp_pct</f>
        <v>0</v>
      </c>
      <c r="I110" s="5">
        <f>(I95+I96)*gp_pct</f>
        <v>0</v>
      </c>
      <c r="J110" s="5">
        <f>(J95+J96)*gp_pct</f>
        <v>0</v>
      </c>
      <c r="K110" s="5">
        <f>(K95+K96)*gp_pct</f>
        <v>0</v>
      </c>
      <c r="L110" s="5">
        <f>(L95+L96)*gp_pct</f>
        <v>0</v>
      </c>
    </row>
    <row r="111" spans="1:12" x14ac:dyDescent="0.25">
      <c r="A111" s="3" t="s">
        <v>235</v>
      </c>
      <c r="C111" s="5">
        <f>SUM(C105:C110)</f>
        <v>88160.153973542</v>
      </c>
      <c r="D111" s="5">
        <f>SUM(D105:D110)</f>
        <v>52022.19220975462</v>
      </c>
      <c r="E111" s="5">
        <f>SUM(E105:E110)</f>
        <v>62382.05788883146</v>
      </c>
      <c r="F111" s="5">
        <f>SUM(F105:F110)</f>
        <v>65387.48974082708</v>
      </c>
      <c r="G111" s="5">
        <f>SUM(G105:G110)</f>
        <v>68453.03022986258</v>
      </c>
      <c r="H111" s="5">
        <f>SUM(H105:H110)</f>
        <v>71579.88152867893</v>
      </c>
      <c r="I111" s="5">
        <f>SUM(I105:I110)</f>
        <v>74769.26985347152</v>
      </c>
      <c r="J111" s="5">
        <f>SUM(J105:J110)</f>
        <v>78022.44594475995</v>
      </c>
      <c r="K111" s="5">
        <f>SUM(K105:K110)</f>
        <v>81340.68555787415</v>
      </c>
      <c r="L111" s="5">
        <f>SUM(L105:L110)</f>
        <v>2091197.0037339395</v>
      </c>
    </row>
    <row r="113" spans="1:12" x14ac:dyDescent="0.25">
      <c r="A113" t="s">
        <v>236</v>
      </c>
      <c r="C113" s="5">
        <f>C94+C95+C96+C103</f>
        <v>88160.153973542</v>
      </c>
      <c r="D113" s="5">
        <f>D94+D95+D96+D103</f>
        <v>52022.19220975462</v>
      </c>
      <c r="E113" s="5">
        <f>E94+E95+E96+E103</f>
        <v>62382.05788883146</v>
      </c>
      <c r="F113" s="5">
        <f>F94+F95+F96+F103</f>
        <v>65387.48974082708</v>
      </c>
      <c r="G113" s="5">
        <f>G94+G95+G96+G103</f>
        <v>68453.03022986258</v>
      </c>
      <c r="H113" s="5">
        <f>H94+H95+H96+H103</f>
        <v>71579.88152867893</v>
      </c>
      <c r="I113" s="5">
        <f>I94+I95+I96+I103</f>
        <v>74769.26985347152</v>
      </c>
      <c r="J113" s="5">
        <f>J94+J95+J96+J103</f>
        <v>78022.44594475995</v>
      </c>
      <c r="K113" s="5">
        <f>K94+K95+K96+K103</f>
        <v>81340.68555787415</v>
      </c>
      <c r="L113" s="5">
        <f>L94+L95+L96+L103</f>
        <v>2091197.0037339395</v>
      </c>
    </row>
    <row r="114" spans="1:12" x14ac:dyDescent="0.25">
      <c r="A114" t="s">
        <v>237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  <c r="H114" s="5">
        <f>H113-H111</f>
        <v>0</v>
      </c>
      <c r="I114" s="5">
        <f>I113-I111</f>
        <v>0</v>
      </c>
      <c r="J114" s="5">
        <f>J113-J111</f>
        <v>0</v>
      </c>
      <c r="K114" s="5">
        <f>K113-K111</f>
        <v>0</v>
      </c>
      <c r="L114" s="5">
        <f>L113-L111</f>
        <v>0</v>
      </c>
    </row>
    <row r="116" spans="1:12" x14ac:dyDescent="0.25">
      <c r="A116" t="s">
        <v>238</v>
      </c>
      <c r="B116" s="5">
        <f>-B87</f>
        <v>-641782.5142857144</v>
      </c>
      <c r="C116" s="5">
        <f>C105+C107+C109</f>
        <v>70528.1231788336</v>
      </c>
      <c r="D116" s="5">
        <f>D105+D107+D109</f>
        <v>41617.75376780369</v>
      </c>
      <c r="E116" s="5">
        <f>E105+E107+E109</f>
        <v>49905.64631106517</v>
      </c>
      <c r="F116" s="5">
        <f>F105+F107+F109</f>
        <v>52309.991792661654</v>
      </c>
      <c r="G116" s="5">
        <f>G105+G107+G109</f>
        <v>54762.424183890056</v>
      </c>
      <c r="H116" s="5">
        <f>H105+H107+H109</f>
        <v>57263.90522294314</v>
      </c>
      <c r="I116" s="5">
        <f>I105+I107+I109</f>
        <v>59815.41588277721</v>
      </c>
      <c r="J116" s="5">
        <f>J105+J107+J109</f>
        <v>62417.95675580796</v>
      </c>
      <c r="K116" s="5">
        <f>K105+K107+K109</f>
        <v>65072.54844629932</v>
      </c>
      <c r="L116" s="5">
        <f>L105+L107+L109</f>
        <v>1469788.5824314367</v>
      </c>
    </row>
    <row r="117" spans="1:12" x14ac:dyDescent="0.25">
      <c r="A117" t="s">
        <v>239</v>
      </c>
      <c r="B117" s="5">
        <f>B116</f>
        <v>-641782.5142857144</v>
      </c>
      <c r="C117" s="5">
        <f>B117+C116</f>
        <v>-571254.3911068807</v>
      </c>
      <c r="D117" s="5">
        <f>C117+D116</f>
        <v>-529636.6373390771</v>
      </c>
      <c r="E117" s="5">
        <f>D117+E116</f>
        <v>-479730.9910280119</v>
      </c>
      <c r="F117" s="5">
        <f>E117+F116</f>
        <v>-427420.99923535023</v>
      </c>
      <c r="G117" s="5">
        <f>F117+G116</f>
        <v>-372658.5750514602</v>
      </c>
      <c r="H117" s="5">
        <f>G117+H116</f>
        <v>-315394.669828517</v>
      </c>
      <c r="I117" s="5">
        <f>H117+I116</f>
        <v>-255579.2539457398</v>
      </c>
      <c r="J117" s="5">
        <f>I117+J116</f>
        <v>-193161.29718993185</v>
      </c>
      <c r="K117" s="5">
        <f>J117+K116</f>
        <v>-128088.74874363253</v>
      </c>
      <c r="L117" s="5">
        <f>K117+L116</f>
        <v>1341699.8336878042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242</v>
      </c>
    </row>
    <row r="3" spans="1:7" x14ac:dyDescent="0.25">
      <c r="A3" s="3" t="s">
        <v>243</v>
      </c>
      <c r="B3" s="3" t="s">
        <v>13</v>
      </c>
      <c r="C3" s="3" t="s">
        <v>19</v>
      </c>
      <c r="D3" s="3" t="s">
        <v>31</v>
      </c>
      <c r="E3" s="3" t="s">
        <v>216</v>
      </c>
      <c r="F3" s="3" t="s">
        <v>230</v>
      </c>
      <c r="G3" s="3" t="s">
        <v>244</v>
      </c>
    </row>
    <row r="4" spans="1:7" x14ac:dyDescent="0.25">
      <c r="A4" t="s">
        <v>81</v>
      </c>
      <c r="B4" s="5">
        <v>0</v>
      </c>
      <c r="C4" s="5">
        <v>1424485</v>
      </c>
      <c r="D4" s="6">
        <v>0.10347293056922954</v>
      </c>
      <c r="E4" s="7">
        <v>2.173143059316676</v>
      </c>
      <c r="F4" s="7"/>
      <c r="G4" t="s">
        <v>245</v>
      </c>
    </row>
    <row r="5" spans="1:7" x14ac:dyDescent="0.25">
      <c r="A5" t="s">
        <v>12</v>
      </c>
      <c r="B5" s="5">
        <v>899388</v>
      </c>
      <c r="C5" s="5">
        <v>737660</v>
      </c>
      <c r="D5" s="6">
        <v>0.1366278761050339</v>
      </c>
      <c r="E5" s="7">
        <v>2.9067370669701122</v>
      </c>
      <c r="F5" s="7">
        <v>2.0517335961874297</v>
      </c>
      <c r="G5" t="s">
        <v>246</v>
      </c>
    </row>
    <row r="6" spans="1:7" x14ac:dyDescent="0.25">
      <c r="A6" t="s">
        <v>83</v>
      </c>
      <c r="B6" s="5">
        <v>1079265</v>
      </c>
      <c r="C6" s="5">
        <v>596708</v>
      </c>
      <c r="D6" s="6">
        <v>0.14909940373506322</v>
      </c>
      <c r="E6" s="7">
        <v>3.248502746261256</v>
      </c>
      <c r="F6" s="7">
        <v>1.7097779968228577</v>
      </c>
      <c r="G6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2026-09-21T00:15:22Z</dcterms:created>
  <dcterms:modified xsi:type="dcterms:W3CDTF">2026-09-21T00:15:22Z</dcterms:modified>
</cp:coreProperties>
</file>