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Mix'!$B$48</definedName>
    <definedName name="blended_incl">'Unit Mix'!$B$49</definedName>
    <definedName name="clean_base">'Unit Mix'!$B$50</definedName>
    <definedName name="anc_units">'Unit Mix'!$B$51</definedName>
    <definedName name="mtr_n">'Unit Mix'!$B$52</definedName>
    <definedName name="cost_unit_n">'Unit Mix'!$B$53</definedName>
    <definedName name="mtr_rent_a">'Unit Mix'!$B$54</definedName>
    <definedName name="turn_base">'Unit Mix'!$B$55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<sst xmlns="http://schemas.openxmlformats.org/spreadsheetml/2006/main" count="454" uniqueCount="250">
  <si>
    <t>Ruzafa 41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</si>
  <si>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</si>
  <si>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</si>
  <si>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</si>
  <si>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</si>
  <si>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</si>
  <si>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</si>
  <si>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</si>
  <si>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</si>
  <si>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</si>
  <si>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</si>
  <si>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</si>
  <si>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</si>
  <si>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</si>
  <si>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</si>
  <si>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</si>
  <si>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</si>
  <si>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</si>
  <si>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</si>
  <si>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</si>
  <si>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</si>
  <si>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</si>
  <si>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</si>
  <si>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</si>
  <si>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</si>
  <si>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</si>
  <si>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</si>
  <si>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</si>
  <si>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</si>
  <si>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</si>
  <si>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</si>
  <si>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</si>
  <si>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</si>
  <si>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</si>
  <si>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</si>
  <si>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</si>
  <si>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</si>
  <si>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</si>
  <si>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</si>
  <si>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</si>
  <si>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</si>
  <si>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</si>
  <si>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</si>
  <si>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</si>
  <si>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</si>
  <si>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</si>
  <si>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</si>
  <si>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</si>
  <si>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</si>
  <si>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</si>
  <si>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</si>
  <si>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</si>
  <si>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</si>
  <si>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</si>
  <si>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</si>
  <si>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</si>
  <si>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</si>
  <si>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</si>
  <si>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</si>
  <si>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</si>
  <si>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</si>
  <si>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</si>
  <si>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</si>
  <si>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</si>
  <si>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</si>
  <si>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</si>
  <si>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</si>
  <si>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</si>
  <si>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</si>
  <si>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</si>
  <si>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</si>
  <si>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</si>
  <si>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</si>
  <si>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</si>
  <si>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</si>
  <si>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</si>
  <si>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</si>
  <si>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</si>
  <si>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</si>
  <si>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</si>
  <si>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</si>
  <si>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</si>
  <si>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</si>
  <si>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65%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</si>
  <si>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</si>
  <si>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</si>
  <si>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</si>
  <si>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</si>
  <si>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</si>
  <si>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</si>
  <si>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</si>
  <si>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</si>
  <si>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</si>
  <si>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</si>
  <si>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</si>
  <si>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</si>
  <si>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</si>
  <si>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</si>
  <si>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</si>
  <si>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</si>
  <si>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</si>
  <si>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</si>
  <si>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</si>
  <si>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</si>
  <si>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</si>
  <si>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</si>
  <si>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Studio · short-let</t>
  </si>
  <si>
    <t>STR</t>
  </si>
  <si>
    <t>1-bed · short-let</t>
  </si>
  <si>
    <t>2-bed · short-let</t>
  </si>
  <si>
    <t>1-bed · mid-term</t>
  </si>
  <si>
    <t>MTR</t>
  </si>
  <si>
    <t>2-bed · mid-term</t>
  </si>
  <si>
    <t>Ground-floor local</t>
  </si>
  <si>
    <t>Local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</si>
  <si>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</si>
  <si>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</si>
  <si>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</si>
  <si>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</si>
  <si>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</si>
  <si>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</si>
  <si>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</si>
  <si>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</si>
  <si>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</si>
  <si>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</si>
  <si>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</si>
  <si>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</si>
  <si>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</si>
  <si>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</si>
  <si>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</si>
  <si>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</si>
  <si>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</si>
  <si>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</si>
  <si>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</si>
  <si>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</si>
  <si>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</si>
  <si>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</si>
  <si>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</si>
  <si>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</si>
  <si>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</si>
  <si>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</si>
  <si>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</si>
  <si>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</si>
  <si>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</si>
  <si>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</si>
  <si>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</si>
  <si>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</si>
  <si>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</si>
  <si>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</si>
  <si>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</si>
  <si>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</si>
  <si>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</si>
  <si>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</si>
  <si>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</si>
  <si>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</si>
  <si>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</si>
  <si>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</si>
  <si>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</si>
  <si>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</si>
  <si>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</si>
  <si>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</si>
  <si>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</si>
  <si>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</si>
  <si>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</si>
  <si>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</si>
  <si>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</si>
  <si>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</si>
  <si>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</si>
  <si>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</si>
  <si>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</si>
  <si>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</si>
  <si>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</si>
  <si>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</si>
  <si>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</si>
  <si>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</si>
  <si>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</si>
  <si>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</si>
  <si>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</si>
  <si>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</si>
  <si>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</si>
  <si>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Ground-floor licence transfer (one_off)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</si>
  <si>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</si>
  <si>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</si>
  <si>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</si>
  <si>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</si>
  <si>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</si>
  <si>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</si>
  <si>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</si>
  <si>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</si>
  <si>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</si>
  <si>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</si>
  <si>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</si>
  <si>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</si>
  <si>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</si>
  <si>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</si>
  <si>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</si>
  <si>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</si>
  <si>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</si>
  <si>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</si>
  <si>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</si>
  <si>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</si>
  <si>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</si>
  <si>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</si>
  <si>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</si>
  <si>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</si>
  <si>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</si>
  <si>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</si>
  <si>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</si>
  <si>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</si>
  <si>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</si>
  <si>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</si>
  <si>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</si>
  <si>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</si>
  <si>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</si>
  <si>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</si>
  <si>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</si>
  <si>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</si>
  <si>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</si>
  <si>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</si>
  <si>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</si>
  <si>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</si>
  <si>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</si>
  <si>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</si>
  <si>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</si>
  <si>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</si>
  <si>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</si>
  <si>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</si>
  <si>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</si>
  <si>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</si>
  <si>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</si>
  <si>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</si>
  <si>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</si>
  <si>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</si>
  <si>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</si>
  <si>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</si>
  <si>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</si>
  <si>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</si>
  <si>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</si>
  <si>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</si>
  <si>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</si>
  <si>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</si>
  <si>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</si>
  <si>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</si>
  <si>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</si>
  <si>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65%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</si>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</sst>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44</v>
      </c>
    </row>
    <row r="7" spans="1:2" x14ac:dyDescent="0.25">
      <c r="A7" t="s">
        <v>5</v>
      </c>
      <c r="B7" s="5">
        <f>price</f>
        <v>7900000</v>
      </c>
    </row>
    <row r="8" spans="1:2" x14ac:dyDescent="0.25">
      <c r="A8" t="s">
        <v>6</v>
      </c>
      <c r="B8" s="5">
        <f>tpc</f>
        <v>9641887.75510204</v>
      </c>
    </row>
    <row r="9" spans="1:2" x14ac:dyDescent="0.25">
      <c r="A9" t="s">
        <v>7</v>
      </c>
      <c r="B9" s="5">
        <f>IF(units_c=0,0,tpc/units_c)</f>
        <v>219133.81261595545</v>
      </c>
    </row>
    <row r="10" spans="1:2" x14ac:dyDescent="0.25">
      <c r="A10" t="s">
        <v>8</v>
      </c>
      <c r="B10" s="5">
        <f>'P&amp;L'!E32</f>
        <v>812500.375712508</v>
      </c>
    </row>
    <row r="11" spans="1:2" x14ac:dyDescent="0.25">
      <c r="A11" t="s">
        <v>9</v>
      </c>
      <c r="B11" s="6">
        <f>IF(tpc=0,0,B10/tpc)</f>
        <v>0.08426776958511785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4820943.87755102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111329.3494897959</v>
      </c>
    </row>
    <row r="18" spans="1:2" x14ac:dyDescent="0.25">
      <c r="A18" t="s">
        <v>16</v>
      </c>
      <c r="B18" s="5">
        <f>eq_total</f>
        <v>4932273.227040816</v>
      </c>
    </row>
    <row r="19" spans="1:2" x14ac:dyDescent="0.25">
      <c r="A19" t="s">
        <v>17</v>
      </c>
      <c r="B19" s="5">
        <f>vat_float</f>
        <v>213318</v>
      </c>
    </row>
    <row r="20" spans="1:2" x14ac:dyDescent="0.25">
      <c r="A20" t="s">
        <v>18</v>
      </c>
      <c r="B20" s="5">
        <f>eq_total+vat_float</f>
        <v>5145591.227040816</v>
      </c>
    </row>
    <row r="21" spans="1:2" x14ac:dyDescent="0.25">
      <c r="A21" t="s">
        <v>19</v>
      </c>
      <c r="B21" s="5">
        <f>eq_lp</f>
        <v>3945818.5816326533</v>
      </c>
    </row>
    <row r="22" spans="1:2" x14ac:dyDescent="0.25">
      <c r="A22" t="s">
        <v>20</v>
      </c>
      <c r="B22" s="5">
        <f>eq_gp</f>
        <v>986454.6454081633</v>
      </c>
    </row>
    <row r="23" spans="1:2" x14ac:dyDescent="0.25">
      <c r="A23" t="s">
        <v>21</v>
      </c>
      <c r="B23" s="5">
        <f>Waterfall!B8</f>
        <v>392591.6193747195</v>
      </c>
    </row>
    <row r="24" spans="1:2" x14ac:dyDescent="0.25">
      <c r="A24" t="s">
        <v>22</v>
      </c>
      <c r="B24" s="7">
        <f>IF(Waterfall!B8=0,0,B10/Waterfall!B8)</f>
        <v>2.069581559093332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7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12469097.568749951</v>
      </c>
    </row>
    <row r="30" spans="1:2" x14ac:dyDescent="0.25">
      <c r="A30" t="s">
        <v>27</v>
      </c>
      <c r="B30" s="5">
        <f>Waterfall!B27</f>
        <v>-249381.95137499901</v>
      </c>
    </row>
    <row r="31" spans="1:2" x14ac:dyDescent="0.25">
      <c r="A31" t="s">
        <v>28</v>
      </c>
      <c r="B31" s="5">
        <f>Waterfall!B28</f>
        <v>2816369.2413069415</v>
      </c>
    </row>
    <row r="32" spans="1:2" x14ac:dyDescent="0.25">
      <c r="A32" t="s">
        <v>29</v>
      </c>
      <c r="B32" s="5">
        <f>Waterfall!B29</f>
        <v>9403346.37606801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0.14844448271900756</v>
      </c>
    </row>
    <row r="36" spans="1:2" x14ac:dyDescent="0.25">
      <c r="A36" t="s">
        <v>32</v>
      </c>
      <c r="B36" s="7">
        <f>Waterfall!B38</f>
        <v>2.325776201800338</v>
      </c>
    </row>
    <row r="37" spans="1:2" x14ac:dyDescent="0.25">
      <c r="A37" t="s">
        <v>33</v>
      </c>
      <c r="B37" s="5">
        <f>Waterfall!B37</f>
        <v>9177090.95378279</v>
      </c>
    </row>
    <row r="38" spans="1:2" x14ac:dyDescent="0.25">
      <c r="A38" t="s">
        <v>34</v>
      </c>
      <c r="B38" s="6">
        <f>IF(eq_lp=0,0,AVERAGE(Waterfall!C22:I22)/eq_lp)</f>
        <v>0.08505395302340922</v>
      </c>
    </row>
    <row r="39" spans="1:2" x14ac:dyDescent="0.25">
      <c r="A39" t="s">
        <v>35</v>
      </c>
      <c r="B39" s="6">
        <f>IRR('Cash Flow'!B77:'Cash Flow'!I77)</f>
        <v>0.1473619395066024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SUM(Waterfall!C23:I23)+Waterfall!B32</f>
        <v>3162820.769744662</v>
      </c>
    </row>
    <row r="43" spans="1:2" x14ac:dyDescent="0.25">
      <c r="A43" t="s">
        <v>38</v>
      </c>
      <c r="B43" s="7">
        <f>IF(eq_gp=0,0,B42/eq_gp)</f>
        <v>3.2062505706341806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0.8199991232876711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2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14000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</v>
      </c>
      <c r="D47" s="8">
        <v>0.65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123.99942451391864</v>
      </c>
      <c r="D2" s="8">
        <v>0.8199991232876712</v>
      </c>
      <c r="E2" s="11">
        <v>35</v>
      </c>
      <c r="F2" s="11">
        <v>0</v>
      </c>
    </row>
    <row r="3" spans="1:6" x14ac:dyDescent="0.25">
      <c r="A3" t="s">
        <v>106</v>
      </c>
      <c r="B3" t="s">
        <v>107</v>
      </c>
      <c r="C3" s="11">
        <v>123.99942451391864</v>
      </c>
      <c r="D3" s="8">
        <v>0.8199991232876712</v>
      </c>
      <c r="E3" s="11">
        <v>35</v>
      </c>
      <c r="F3" s="11">
        <v>0</v>
      </c>
    </row>
    <row r="4" spans="1:6" x14ac:dyDescent="0.25">
      <c r="A4" t="s">
        <v>106</v>
      </c>
      <c r="B4" t="s">
        <v>107</v>
      </c>
      <c r="C4" s="11">
        <v>123.99942451391864</v>
      </c>
      <c r="D4" s="8">
        <v>0.8199991232876712</v>
      </c>
      <c r="E4" s="11">
        <v>35</v>
      </c>
      <c r="F4" s="11">
        <v>0</v>
      </c>
    </row>
    <row r="5" spans="1:6" x14ac:dyDescent="0.25">
      <c r="A5" t="s">
        <v>106</v>
      </c>
      <c r="B5" t="s">
        <v>107</v>
      </c>
      <c r="C5" s="11">
        <v>123.99942451391864</v>
      </c>
      <c r="D5" s="8">
        <v>0.8199991232876712</v>
      </c>
      <c r="E5" s="11">
        <v>35</v>
      </c>
      <c r="F5" s="11">
        <v>0</v>
      </c>
    </row>
    <row r="6" spans="1:6" x14ac:dyDescent="0.25">
      <c r="A6" t="s">
        <v>106</v>
      </c>
      <c r="B6" t="s">
        <v>107</v>
      </c>
      <c r="C6" s="11">
        <v>123.99942451391864</v>
      </c>
      <c r="D6" s="8">
        <v>0.8199991232876712</v>
      </c>
      <c r="E6" s="11">
        <v>35</v>
      </c>
      <c r="F6" s="11">
        <v>0</v>
      </c>
    </row>
    <row r="7" spans="1:6" x14ac:dyDescent="0.25">
      <c r="A7" t="s">
        <v>106</v>
      </c>
      <c r="B7" t="s">
        <v>107</v>
      </c>
      <c r="C7" s="11">
        <v>123.99942451391864</v>
      </c>
      <c r="D7" s="8">
        <v>0.8199991232876712</v>
      </c>
      <c r="E7" s="11">
        <v>35</v>
      </c>
      <c r="F7" s="11">
        <v>0</v>
      </c>
    </row>
    <row r="8" spans="1:6" x14ac:dyDescent="0.25">
      <c r="A8" t="s">
        <v>106</v>
      </c>
      <c r="B8" t="s">
        <v>107</v>
      </c>
      <c r="C8" s="11">
        <v>123.99942451391864</v>
      </c>
      <c r="D8" s="8">
        <v>0.8199991232876712</v>
      </c>
      <c r="E8" s="11">
        <v>35</v>
      </c>
      <c r="F8" s="11">
        <v>0</v>
      </c>
    </row>
    <row r="9" spans="1:6" x14ac:dyDescent="0.25">
      <c r="A9" t="s">
        <v>106</v>
      </c>
      <c r="B9" t="s">
        <v>107</v>
      </c>
      <c r="C9" s="11">
        <v>123.99942451391864</v>
      </c>
      <c r="D9" s="8">
        <v>0.8199991232876712</v>
      </c>
      <c r="E9" s="11">
        <v>35</v>
      </c>
      <c r="F9" s="11">
        <v>0</v>
      </c>
    </row>
    <row r="10" spans="1:6" x14ac:dyDescent="0.25">
      <c r="A10" t="s">
        <v>106</v>
      </c>
      <c r="B10" t="s">
        <v>107</v>
      </c>
      <c r="C10" s="11">
        <v>123.99942451391864</v>
      </c>
      <c r="D10" s="8">
        <v>0.8199991232876712</v>
      </c>
      <c r="E10" s="11">
        <v>35</v>
      </c>
      <c r="F10" s="11">
        <v>0</v>
      </c>
    </row>
    <row r="11" spans="1:6" x14ac:dyDescent="0.25">
      <c r="A11" t="s">
        <v>106</v>
      </c>
      <c r="B11" t="s">
        <v>107</v>
      </c>
      <c r="C11" s="11">
        <v>123.99942451391864</v>
      </c>
      <c r="D11" s="8">
        <v>0.8199991232876712</v>
      </c>
      <c r="E11" s="11">
        <v>35</v>
      </c>
      <c r="F11" s="11">
        <v>0</v>
      </c>
    </row>
    <row r="12" spans="1:6" x14ac:dyDescent="0.25">
      <c r="A12" t="s">
        <v>106</v>
      </c>
      <c r="B12" t="s">
        <v>107</v>
      </c>
      <c r="C12" s="11">
        <v>123.99942451391864</v>
      </c>
      <c r="D12" s="8">
        <v>0.8199991232876712</v>
      </c>
      <c r="E12" s="11">
        <v>35</v>
      </c>
      <c r="F12" s="11">
        <v>0</v>
      </c>
    </row>
    <row r="13" spans="1:6" x14ac:dyDescent="0.25">
      <c r="A13" t="s">
        <v>106</v>
      </c>
      <c r="B13" t="s">
        <v>107</v>
      </c>
      <c r="C13" s="11">
        <v>123.99942451391864</v>
      </c>
      <c r="D13" s="8">
        <v>0.8199991232876712</v>
      </c>
      <c r="E13" s="11">
        <v>35</v>
      </c>
      <c r="F13" s="11">
        <v>0</v>
      </c>
    </row>
    <row r="14" spans="1:6" x14ac:dyDescent="0.25">
      <c r="A14" t="s">
        <v>108</v>
      </c>
      <c r="B14" t="s">
        <v>107</v>
      </c>
      <c r="C14" s="11">
        <v>151.99901645367615</v>
      </c>
      <c r="D14" s="8">
        <v>0.8199991232876712</v>
      </c>
      <c r="E14" s="11">
        <v>35</v>
      </c>
      <c r="F14" s="11">
        <v>0</v>
      </c>
    </row>
    <row r="15" spans="1:6" x14ac:dyDescent="0.25">
      <c r="A15" t="s">
        <v>108</v>
      </c>
      <c r="B15" t="s">
        <v>107</v>
      </c>
      <c r="C15" s="11">
        <v>151.99901645367615</v>
      </c>
      <c r="D15" s="8">
        <v>0.8199991232876712</v>
      </c>
      <c r="E15" s="11">
        <v>35</v>
      </c>
      <c r="F15" s="11">
        <v>0</v>
      </c>
    </row>
    <row r="16" spans="1:6" x14ac:dyDescent="0.25">
      <c r="A16" t="s">
        <v>108</v>
      </c>
      <c r="B16" t="s">
        <v>107</v>
      </c>
      <c r="C16" s="11">
        <v>151.99901645367615</v>
      </c>
      <c r="D16" s="8">
        <v>0.8199991232876712</v>
      </c>
      <c r="E16" s="11">
        <v>35</v>
      </c>
      <c r="F16" s="11">
        <v>0</v>
      </c>
    </row>
    <row r="17" spans="1:6" x14ac:dyDescent="0.25">
      <c r="A17" t="s">
        <v>108</v>
      </c>
      <c r="B17" t="s">
        <v>107</v>
      </c>
      <c r="C17" s="11">
        <v>151.99901645367615</v>
      </c>
      <c r="D17" s="8">
        <v>0.8199991232876712</v>
      </c>
      <c r="E17" s="11">
        <v>35</v>
      </c>
      <c r="F17" s="11">
        <v>0</v>
      </c>
    </row>
    <row r="18" spans="1:6" x14ac:dyDescent="0.25">
      <c r="A18" t="s">
        <v>108</v>
      </c>
      <c r="B18" t="s">
        <v>107</v>
      </c>
      <c r="C18" s="11">
        <v>151.99901645367615</v>
      </c>
      <c r="D18" s="8">
        <v>0.8199991232876712</v>
      </c>
      <c r="E18" s="11">
        <v>35</v>
      </c>
      <c r="F18" s="11">
        <v>0</v>
      </c>
    </row>
    <row r="19" spans="1:6" x14ac:dyDescent="0.25">
      <c r="A19" t="s">
        <v>108</v>
      </c>
      <c r="B19" t="s">
        <v>107</v>
      </c>
      <c r="C19" s="11">
        <v>151.99901645367615</v>
      </c>
      <c r="D19" s="8">
        <v>0.8199991232876712</v>
      </c>
      <c r="E19" s="11">
        <v>35</v>
      </c>
      <c r="F19" s="11">
        <v>0</v>
      </c>
    </row>
    <row r="20" spans="1:6" x14ac:dyDescent="0.25">
      <c r="A20" t="s">
        <v>108</v>
      </c>
      <c r="B20" t="s">
        <v>107</v>
      </c>
      <c r="C20" s="11">
        <v>151.99901645367615</v>
      </c>
      <c r="D20" s="8">
        <v>0.8199991232876712</v>
      </c>
      <c r="E20" s="11">
        <v>35</v>
      </c>
      <c r="F20" s="11">
        <v>0</v>
      </c>
    </row>
    <row r="21" spans="1:6" x14ac:dyDescent="0.25">
      <c r="A21" t="s">
        <v>108</v>
      </c>
      <c r="B21" t="s">
        <v>107</v>
      </c>
      <c r="C21" s="11">
        <v>151.99901645367615</v>
      </c>
      <c r="D21" s="8">
        <v>0.8199991232876712</v>
      </c>
      <c r="E21" s="11">
        <v>35</v>
      </c>
      <c r="F21" s="11">
        <v>0</v>
      </c>
    </row>
    <row r="22" spans="1:6" x14ac:dyDescent="0.25">
      <c r="A22" t="s">
        <v>108</v>
      </c>
      <c r="B22" t="s">
        <v>107</v>
      </c>
      <c r="C22" s="11">
        <v>151.99901645367615</v>
      </c>
      <c r="D22" s="8">
        <v>0.8199991232876712</v>
      </c>
      <c r="E22" s="11">
        <v>35</v>
      </c>
      <c r="F22" s="11">
        <v>0</v>
      </c>
    </row>
    <row r="23" spans="1:6" x14ac:dyDescent="0.25">
      <c r="A23" t="s">
        <v>108</v>
      </c>
      <c r="B23" t="s">
        <v>107</v>
      </c>
      <c r="C23" s="11">
        <v>151.99901645367615</v>
      </c>
      <c r="D23" s="8">
        <v>0.8199991232876712</v>
      </c>
      <c r="E23" s="11">
        <v>35</v>
      </c>
      <c r="F23" s="11">
        <v>0</v>
      </c>
    </row>
    <row r="24" spans="1:6" x14ac:dyDescent="0.25">
      <c r="A24" t="s">
        <v>108</v>
      </c>
      <c r="B24" t="s">
        <v>107</v>
      </c>
      <c r="C24" s="11">
        <v>151.99901645367615</v>
      </c>
      <c r="D24" s="8">
        <v>0.8199991232876712</v>
      </c>
      <c r="E24" s="11">
        <v>35</v>
      </c>
      <c r="F24" s="11">
        <v>0</v>
      </c>
    </row>
    <row r="25" spans="1:6" x14ac:dyDescent="0.25">
      <c r="A25" t="s">
        <v>108</v>
      </c>
      <c r="B25" t="s">
        <v>107</v>
      </c>
      <c r="C25" s="11">
        <v>151.99901645367615</v>
      </c>
      <c r="D25" s="8">
        <v>0.8199991232876712</v>
      </c>
      <c r="E25" s="11">
        <v>35</v>
      </c>
      <c r="F25" s="11">
        <v>0</v>
      </c>
    </row>
    <row r="26" spans="1:6" x14ac:dyDescent="0.25">
      <c r="A26" t="s">
        <v>109</v>
      </c>
      <c r="B26" t="s">
        <v>107</v>
      </c>
      <c r="C26" s="11">
        <v>190.00034448783904</v>
      </c>
      <c r="D26" s="8">
        <v>0.8199991232876713</v>
      </c>
      <c r="E26" s="11">
        <v>40</v>
      </c>
      <c r="F26" s="11">
        <v>0</v>
      </c>
    </row>
    <row r="27" spans="1:6" x14ac:dyDescent="0.25">
      <c r="A27" t="s">
        <v>109</v>
      </c>
      <c r="B27" t="s">
        <v>107</v>
      </c>
      <c r="C27" s="11">
        <v>190.00034448783904</v>
      </c>
      <c r="D27" s="8">
        <v>0.8199991232876713</v>
      </c>
      <c r="E27" s="11">
        <v>40</v>
      </c>
      <c r="F27" s="11">
        <v>0</v>
      </c>
    </row>
    <row r="28" spans="1:6" x14ac:dyDescent="0.25">
      <c r="A28" t="s">
        <v>109</v>
      </c>
      <c r="B28" t="s">
        <v>107</v>
      </c>
      <c r="C28" s="11">
        <v>190.00034448783904</v>
      </c>
      <c r="D28" s="8">
        <v>0.8199991232876713</v>
      </c>
      <c r="E28" s="11">
        <v>40</v>
      </c>
      <c r="F28" s="11">
        <v>0</v>
      </c>
    </row>
    <row r="29" spans="1:6" x14ac:dyDescent="0.25">
      <c r="A29" t="s">
        <v>109</v>
      </c>
      <c r="B29" t="s">
        <v>107</v>
      </c>
      <c r="C29" s="11">
        <v>190.00034448783904</v>
      </c>
      <c r="D29" s="8">
        <v>0.8199991232876713</v>
      </c>
      <c r="E29" s="11">
        <v>40</v>
      </c>
      <c r="F29" s="11">
        <v>0</v>
      </c>
    </row>
    <row r="30" spans="1:6" x14ac:dyDescent="0.25">
      <c r="A30" t="s">
        <v>109</v>
      </c>
      <c r="B30" t="s">
        <v>107</v>
      </c>
      <c r="C30" s="11">
        <v>190.00034448783904</v>
      </c>
      <c r="D30" s="8">
        <v>0.8199991232876713</v>
      </c>
      <c r="E30" s="11">
        <v>40</v>
      </c>
      <c r="F30" s="11">
        <v>0</v>
      </c>
    </row>
    <row r="31" spans="1:6" x14ac:dyDescent="0.25">
      <c r="A31" t="s">
        <v>109</v>
      </c>
      <c r="B31" t="s">
        <v>107</v>
      </c>
      <c r="C31" s="11">
        <v>190.00034448783904</v>
      </c>
      <c r="D31" s="8">
        <v>0.8199991232876713</v>
      </c>
      <c r="E31" s="11">
        <v>40</v>
      </c>
      <c r="F31" s="11">
        <v>0</v>
      </c>
    </row>
    <row r="32" spans="1:6" x14ac:dyDescent="0.25">
      <c r="A32" t="s">
        <v>109</v>
      </c>
      <c r="B32" t="s">
        <v>107</v>
      </c>
      <c r="C32" s="11">
        <v>190.00034448783904</v>
      </c>
      <c r="D32" s="8">
        <v>0.8199991232876713</v>
      </c>
      <c r="E32" s="11">
        <v>40</v>
      </c>
      <c r="F32" s="11">
        <v>0</v>
      </c>
    </row>
    <row r="33" spans="1:6" x14ac:dyDescent="0.25">
      <c r="A33" t="s">
        <v>109</v>
      </c>
      <c r="B33" t="s">
        <v>107</v>
      </c>
      <c r="C33" s="11">
        <v>190.00034448783904</v>
      </c>
      <c r="D33" s="8">
        <v>0.8199991232876713</v>
      </c>
      <c r="E33" s="11">
        <v>40</v>
      </c>
      <c r="F33" s="11">
        <v>0</v>
      </c>
    </row>
    <row r="34" spans="1:6" x14ac:dyDescent="0.25">
      <c r="A34" t="s">
        <v>110</v>
      </c>
      <c r="B34" t="s">
        <v>111</v>
      </c>
      <c r="C34" s="11">
        <v>0</v>
      </c>
      <c r="D34" s="8">
        <v>0.92</v>
      </c>
      <c r="E34" s="11">
        <v>0</v>
      </c>
      <c r="F34" s="11">
        <v>744.3636363636364</v>
      </c>
    </row>
    <row r="35" spans="1:6" x14ac:dyDescent="0.25">
      <c r="A35" t="s">
        <v>110</v>
      </c>
      <c r="B35" t="s">
        <v>111</v>
      </c>
      <c r="C35" s="11">
        <v>0</v>
      </c>
      <c r="D35" s="8">
        <v>0.92</v>
      </c>
      <c r="E35" s="11">
        <v>0</v>
      </c>
      <c r="F35" s="11">
        <v>744.3636363636364</v>
      </c>
    </row>
    <row r="36" spans="1:6" x14ac:dyDescent="0.25">
      <c r="A36" t="s">
        <v>110</v>
      </c>
      <c r="B36" t="s">
        <v>111</v>
      </c>
      <c r="C36" s="11">
        <v>0</v>
      </c>
      <c r="D36" s="8">
        <v>0.92</v>
      </c>
      <c r="E36" s="11">
        <v>0</v>
      </c>
      <c r="F36" s="11">
        <v>744.3636363636364</v>
      </c>
    </row>
    <row r="37" spans="1:6" x14ac:dyDescent="0.25">
      <c r="A37" t="s">
        <v>110</v>
      </c>
      <c r="B37" t="s">
        <v>111</v>
      </c>
      <c r="C37" s="11">
        <v>0</v>
      </c>
      <c r="D37" s="8">
        <v>0.92</v>
      </c>
      <c r="E37" s="11">
        <v>0</v>
      </c>
      <c r="F37" s="11">
        <v>744.3636363636364</v>
      </c>
    </row>
    <row r="38" spans="1:6" x14ac:dyDescent="0.25">
      <c r="A38" t="s">
        <v>110</v>
      </c>
      <c r="B38" t="s">
        <v>111</v>
      </c>
      <c r="C38" s="11">
        <v>0</v>
      </c>
      <c r="D38" s="8">
        <v>0.92</v>
      </c>
      <c r="E38" s="11">
        <v>0</v>
      </c>
      <c r="F38" s="11">
        <v>744.3636363636364</v>
      </c>
    </row>
    <row r="39" spans="1:6" x14ac:dyDescent="0.25">
      <c r="A39" t="s">
        <v>110</v>
      </c>
      <c r="B39" t="s">
        <v>111</v>
      </c>
      <c r="C39" s="11">
        <v>0</v>
      </c>
      <c r="D39" s="8">
        <v>0.92</v>
      </c>
      <c r="E39" s="11">
        <v>0</v>
      </c>
      <c r="F39" s="11">
        <v>744.3636363636364</v>
      </c>
    </row>
    <row r="40" spans="1:6" x14ac:dyDescent="0.25">
      <c r="A40" t="s">
        <v>110</v>
      </c>
      <c r="B40" t="s">
        <v>111</v>
      </c>
      <c r="C40" s="11">
        <v>0</v>
      </c>
      <c r="D40" s="8">
        <v>0.92</v>
      </c>
      <c r="E40" s="11">
        <v>0</v>
      </c>
      <c r="F40" s="11">
        <v>744.3636363636364</v>
      </c>
    </row>
    <row r="41" spans="1:6" x14ac:dyDescent="0.25">
      <c r="A41" t="s">
        <v>110</v>
      </c>
      <c r="B41" t="s">
        <v>111</v>
      </c>
      <c r="C41" s="11">
        <v>0</v>
      </c>
      <c r="D41" s="8">
        <v>0.92</v>
      </c>
      <c r="E41" s="11">
        <v>0</v>
      </c>
      <c r="F41" s="11">
        <v>744.3636363636364</v>
      </c>
    </row>
    <row r="42" spans="1:6" x14ac:dyDescent="0.25">
      <c r="A42" t="s">
        <v>112</v>
      </c>
      <c r="B42" t="s">
        <v>111</v>
      </c>
      <c r="C42" s="11">
        <v>0</v>
      </c>
      <c r="D42" s="8">
        <v>0.92</v>
      </c>
      <c r="E42" s="11">
        <v>0</v>
      </c>
      <c r="F42" s="11">
        <v>936.7272727272727</v>
      </c>
    </row>
    <row r="43" spans="1:6" x14ac:dyDescent="0.25">
      <c r="A43" t="s">
        <v>112</v>
      </c>
      <c r="B43" t="s">
        <v>111</v>
      </c>
      <c r="C43" s="11">
        <v>0</v>
      </c>
      <c r="D43" s="8">
        <v>0.92</v>
      </c>
      <c r="E43" s="11">
        <v>0</v>
      </c>
      <c r="F43" s="11">
        <v>936.7272727272727</v>
      </c>
    </row>
    <row r="44" spans="1:6" x14ac:dyDescent="0.25">
      <c r="A44" t="s">
        <v>112</v>
      </c>
      <c r="B44" t="s">
        <v>111</v>
      </c>
      <c r="C44" s="11">
        <v>0</v>
      </c>
      <c r="D44" s="8">
        <v>0.92</v>
      </c>
      <c r="E44" s="11">
        <v>0</v>
      </c>
      <c r="F44" s="11">
        <v>936.7272727272727</v>
      </c>
    </row>
    <row r="45" spans="1:6" x14ac:dyDescent="0.25">
      <c r="A45" t="s">
        <v>112</v>
      </c>
      <c r="B45" t="s">
        <v>111</v>
      </c>
      <c r="C45" s="11">
        <v>0</v>
      </c>
      <c r="D45" s="8">
        <v>0.92</v>
      </c>
      <c r="E45" s="11">
        <v>0</v>
      </c>
      <c r="F45" s="11">
        <v>936.7272727272727</v>
      </c>
    </row>
    <row r="46" spans="1:6" x14ac:dyDescent="0.25">
      <c r="A46" t="s">
        <v>113</v>
      </c>
      <c r="B46" t="s">
        <v>114</v>
      </c>
      <c r="C46" s="11">
        <v>0</v>
      </c>
      <c r="D46" s="8">
        <v>0.8199991232876711</v>
      </c>
      <c r="E46" s="11">
        <v>0</v>
      </c>
      <c r="F46" s="11">
        <v>4200</v>
      </c>
    </row>
    <row r="48" spans="1:2" x14ac:dyDescent="0.25">
      <c r="A48" t="s">
        <v>115</v>
      </c>
      <c r="B48" s="4">
        <f>COUNTIF(B2:B46,"STR")</f>
        <v>32</v>
      </c>
    </row>
    <row r="49" spans="1:2" x14ac:dyDescent="0.25">
      <c r="A49" t="s">
        <v>116</v>
      </c>
      <c r="B49" s="5">
        <f>SUMPRODUCT(C2:C46,D2:D46,--(B2:B46="STR"))/SUMPRODUCT(D2:D46,--(B2:B46="STR"))</f>
        <v>150.99950148480767</v>
      </c>
    </row>
    <row r="50" spans="1:2" x14ac:dyDescent="0.25">
      <c r="A50" t="s">
        <v>117</v>
      </c>
      <c r="B50" s="5">
        <f>SUMPRODUCT(365*D2:D46/alos,E2:E46/(1+iva),--(B2:B46="STR"))</f>
        <v>126250.0468363636</v>
      </c>
    </row>
    <row r="51" spans="1:2" x14ac:dyDescent="0.25">
      <c r="A51" t="s">
        <v>118</v>
      </c>
      <c r="B51" s="5">
        <f>SUMPRODUCT(F2:F46,--(B2:B46&lt;&gt;"STR"),--(B2:B46&lt;&gt;"MTR"))*12</f>
        <v>50400</v>
      </c>
    </row>
    <row r="52" spans="1:2" x14ac:dyDescent="0.25">
      <c r="A52" t="s">
        <v>119</v>
      </c>
      <c r="B52" s="4">
        <f>COUNTIF(B2:B46,"MTR")</f>
        <v>12</v>
      </c>
    </row>
    <row r="53" spans="1:2" x14ac:dyDescent="0.25">
      <c r="A53" t="s">
        <v>120</v>
      </c>
      <c r="B53" s="4">
        <f>unit_n+mtr_n</f>
        <v>44</v>
      </c>
    </row>
    <row r="54" spans="1:2" x14ac:dyDescent="0.25">
      <c r="A54" t="s">
        <v>121</v>
      </c>
      <c r="B54" s="5">
        <f>SUMPRODUCT(F2:F46,--(B2:B46="MTR"))*12</f>
        <v>116421.81818181815</v>
      </c>
    </row>
    <row r="55" spans="1:2" x14ac:dyDescent="0.25">
      <c r="A55" t="s">
        <v>122</v>
      </c>
      <c r="B55" s="12">
        <f>SUMPRODUCT(D2:D46,--(B2:B46="STR"))*365/alos</f>
        <v>3831.0359040000008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123</v>
      </c>
    </row>
    <row r="2" spans="1:2" x14ac:dyDescent="0.25">
      <c r="A2" t="s">
        <v>5</v>
      </c>
      <c r="B2" s="11">
        <v>7900000</v>
      </c>
    </row>
    <row r="3" spans="1:2" x14ac:dyDescent="0.25">
      <c r="A3" t="s">
        <v>124</v>
      </c>
      <c r="B3" s="9">
        <v>44</v>
      </c>
    </row>
    <row r="4" spans="1:2" x14ac:dyDescent="0.25">
      <c r="A4" t="s">
        <v>125</v>
      </c>
      <c r="B4" s="8">
        <v>0.0075</v>
      </c>
    </row>
    <row r="5" spans="1:2" x14ac:dyDescent="0.25">
      <c r="A5" t="s">
        <v>126</v>
      </c>
      <c r="B5" s="8">
        <v>0.06</v>
      </c>
    </row>
    <row r="6" spans="1:2" x14ac:dyDescent="0.25">
      <c r="A6" t="s">
        <v>127</v>
      </c>
      <c r="B6" s="8">
        <v>0.03</v>
      </c>
    </row>
    <row r="7" spans="1:2" x14ac:dyDescent="0.25">
      <c r="A7" t="s">
        <v>128</v>
      </c>
      <c r="B7" s="8">
        <v>0.005</v>
      </c>
    </row>
    <row r="8" spans="1:2" x14ac:dyDescent="0.25">
      <c r="A8" t="s">
        <v>129</v>
      </c>
      <c r="B8" s="11">
        <v>1800</v>
      </c>
    </row>
    <row r="9" spans="1:2" x14ac:dyDescent="0.25">
      <c r="A9" t="s">
        <v>130</v>
      </c>
      <c r="B9" s="11">
        <v>900</v>
      </c>
    </row>
    <row r="10" spans="1:2" x14ac:dyDescent="0.25">
      <c r="A10" t="s">
        <v>131</v>
      </c>
      <c r="B10" s="11">
        <v>3500</v>
      </c>
    </row>
    <row r="11" spans="1:2" x14ac:dyDescent="0.25">
      <c r="A11" t="s">
        <v>132</v>
      </c>
      <c r="B11" s="11">
        <v>2500</v>
      </c>
    </row>
    <row r="12" spans="1:2" x14ac:dyDescent="0.25">
      <c r="A12" t="s">
        <v>133</v>
      </c>
      <c r="B12" s="11">
        <v>0</v>
      </c>
    </row>
    <row r="13" spans="1:2" x14ac:dyDescent="0.25">
      <c r="A13" t="s">
        <v>134</v>
      </c>
      <c r="B13" s="11">
        <v>2000</v>
      </c>
    </row>
    <row r="14" spans="1:2" x14ac:dyDescent="0.25">
      <c r="A14" t="s">
        <v>135</v>
      </c>
      <c r="B14" s="11">
        <v>70000</v>
      </c>
    </row>
    <row r="15" spans="1:2" x14ac:dyDescent="0.25">
      <c r="A15" t="s">
        <v>136</v>
      </c>
      <c r="B15" s="11">
        <v>35000</v>
      </c>
    </row>
    <row r="16" spans="1:2" x14ac:dyDescent="0.25">
      <c r="A16" t="s">
        <v>137</v>
      </c>
      <c r="B16" s="8">
        <v>0</v>
      </c>
    </row>
    <row r="17" spans="1:2" x14ac:dyDescent="0.25">
      <c r="A17" t="s">
        <v>138</v>
      </c>
      <c r="B17" s="11">
        <v>7636.363636363636</v>
      </c>
    </row>
    <row r="18" spans="1:2" x14ac:dyDescent="0.25">
      <c r="A18" t="s">
        <v>139</v>
      </c>
      <c r="B18" s="11">
        <v>1400</v>
      </c>
    </row>
    <row r="19" spans="1:2" x14ac:dyDescent="0.25">
      <c r="A19" t="s">
        <v>140</v>
      </c>
      <c r="B19" s="11">
        <v>60000</v>
      </c>
    </row>
    <row r="20" spans="1:2" x14ac:dyDescent="0.25">
      <c r="A20" t="s">
        <v>141</v>
      </c>
      <c r="B20" s="11">
        <v>62000</v>
      </c>
    </row>
    <row r="21" spans="1:2" x14ac:dyDescent="0.25">
      <c r="A21" t="s">
        <v>142</v>
      </c>
      <c r="B21" s="8">
        <v>0.02</v>
      </c>
    </row>
    <row r="23" spans="1:2" x14ac:dyDescent="0.25">
      <c r="A23" t="s">
        <v>143</v>
      </c>
      <c r="B23" s="5">
        <f>ajd_pct*price+itp_pct*price+broker_pct*price+dd_pct*price+notary_f+registry_f+spv_f+taxadv_f</f>
        <v>818450</v>
      </c>
    </row>
    <row r="24" spans="1:2" x14ac:dyDescent="0.25">
      <c r="A24" t="s">
        <v>144</v>
      </c>
      <c r="B24" s="5">
        <f>(reno_u*(units_c-1)+appl_u*units_c+common_f+deep_f)*(1+conting_pct)</f>
        <v>193000</v>
      </c>
    </row>
    <row r="25" spans="1:2" x14ac:dyDescent="0.25">
      <c r="A25" t="s">
        <v>145</v>
      </c>
      <c r="B25" s="5">
        <f>(ffe_u+itl_u)*units_c</f>
        <v>397600</v>
      </c>
    </row>
    <row r="26" spans="1:2" x14ac:dyDescent="0.25">
      <c r="A26" t="s">
        <v>146</v>
      </c>
      <c r="B26" s="5">
        <f>permits_f+arch_f</f>
        <v>140000</v>
      </c>
    </row>
    <row r="27" spans="1:2" x14ac:dyDescent="0.25">
      <c r="A27" t="s">
        <v>147</v>
      </c>
      <c r="B27" s="5">
        <f>price+B23+B24+B25+B26</f>
        <v>9449050</v>
      </c>
    </row>
    <row r="28" spans="1:2" x14ac:dyDescent="0.25">
      <c r="A28" t="s">
        <v>148</v>
      </c>
      <c r="B28" s="5">
        <f>gp_fee_pct*cost_base/(1-gp_fee_pct)</f>
        <v>192837.75510204083</v>
      </c>
    </row>
    <row r="29" spans="1:2" x14ac:dyDescent="0.25">
      <c r="A29" s="3" t="s">
        <v>149</v>
      </c>
      <c r="B29" s="5">
        <f>cost_base+B28</f>
        <v>9641887.75510204</v>
      </c>
    </row>
    <row r="30" spans="1:1" x14ac:dyDescent="0.25">
      <c r="A30" s="3" t="s">
        <v>150</v>
      </c>
    </row>
    <row r="31" spans="1:2" x14ac:dyDescent="0.25">
      <c r="A31" t="s">
        <v>151</v>
      </c>
      <c r="B31" s="5">
        <f>0*price</f>
        <v>0</v>
      </c>
    </row>
    <row r="32" spans="1:2" x14ac:dyDescent="0.25">
      <c r="A32" t="s">
        <v>152</v>
      </c>
      <c r="B32" s="5">
        <f>vat_works*B24</f>
        <v>40530</v>
      </c>
    </row>
    <row r="33" spans="1:2" x14ac:dyDescent="0.25">
      <c r="A33" t="s">
        <v>153</v>
      </c>
      <c r="B33" s="5">
        <f>vat_ffe*B25</f>
        <v>83496</v>
      </c>
    </row>
    <row r="34" spans="1:2" x14ac:dyDescent="0.25">
      <c r="A34" t="s">
        <v>154</v>
      </c>
      <c r="B34" s="5">
        <f>vat_soft*B26</f>
        <v>29400</v>
      </c>
    </row>
    <row r="35" spans="1:2" x14ac:dyDescent="0.25">
      <c r="A35" t="s">
        <v>155</v>
      </c>
      <c r="B35" s="5">
        <f>vat_fees*(B23-ajd_pct*price-itp_pct*price)</f>
        <v>59892</v>
      </c>
    </row>
    <row r="36" spans="1:2" x14ac:dyDescent="0.25">
      <c r="A36" s="3" t="s">
        <v>156</v>
      </c>
      <c r="B36" s="5">
        <f>SUM(B31:B35)</f>
        <v>213318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9" width="12" customWidth="1"/>
  </cols>
  <sheetData>
    <row r="1" spans="1:1" x14ac:dyDescent="0.25">
      <c r="A1" s="2" t="s">
        <v>157</v>
      </c>
    </row>
    <row r="2" spans="3:9" x14ac:dyDescent="0.25">
      <c r="C2" s="3" t="s">
        <v>158</v>
      </c>
      <c r="D2" s="3" t="s">
        <v>159</v>
      </c>
      <c r="E2" s="3" t="s">
        <v>160</v>
      </c>
      <c r="F2" s="3" t="s">
        <v>161</v>
      </c>
      <c r="G2" s="3" t="s">
        <v>162</v>
      </c>
      <c r="H2" s="3" t="s">
        <v>163</v>
      </c>
      <c r="I2" s="3" t="s">
        <v>164</v>
      </c>
    </row>
    <row r="3" spans="1:9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0.8199991232876711</v>
      </c>
      <c r="F3" s="6">
        <f>occ_stab</f>
        <v>0.8199991232876711</v>
      </c>
      <c r="G3" s="6">
        <f>occ_stab</f>
        <v>0.8199991232876711</v>
      </c>
      <c r="H3" s="6">
        <f>occ_stab</f>
        <v>0.8199991232876711</v>
      </c>
      <c r="I3" s="6">
        <f>occ_stab</f>
        <v>0.8199991232876711</v>
      </c>
    </row>
    <row r="4" spans="1:9" x14ac:dyDescent="0.25">
      <c r="A4" t="s">
        <v>165</v>
      </c>
      <c r="C4" s="5">
        <f>blended_incl/(1+iva)*adr_y1f</f>
        <v>130.40866037324298</v>
      </c>
      <c r="D4" s="5">
        <f>blended_incl/(1+iva)</f>
        <v>137.27227407709788</v>
      </c>
      <c r="E4" s="5">
        <f>D4*(1+adr_infl)</f>
        <v>140.01771955863984</v>
      </c>
      <c r="F4" s="5">
        <f>E4*(1+adr_infl)</f>
        <v>142.81807394981263</v>
      </c>
      <c r="G4" s="5">
        <f>F4*(1+adr_infl)</f>
        <v>145.6744354288089</v>
      </c>
      <c r="H4" s="5">
        <f>G4*(1+adr_infl)</f>
        <v>148.58792413738507</v>
      </c>
      <c r="I4" s="5">
        <f>H4*(1+adr_infl)</f>
        <v>151.55968262013278</v>
      </c>
    </row>
    <row r="5" spans="1:9" x14ac:dyDescent="0.25">
      <c r="A5" t="s">
        <v>166</v>
      </c>
      <c r="C5" s="5">
        <f>C3*365*C4*unit_n</f>
        <v>1157611.5964012032</v>
      </c>
      <c r="D5" s="5">
        <f>D3*365*D4*unit_n</f>
        <v>1266638.7273641976</v>
      </c>
      <c r="E5" s="5">
        <f>E3*365*E4*unit_n</f>
        <v>1341032.2770633805</v>
      </c>
      <c r="F5" s="5">
        <f>F3*365*F4*unit_n</f>
        <v>1367852.922604648</v>
      </c>
      <c r="G5" s="5">
        <f>G3*365*G4*unit_n</f>
        <v>1395209.9810567412</v>
      </c>
      <c r="H5" s="5">
        <f>H3*365*H4*unit_n</f>
        <v>1423114.1806778759</v>
      </c>
      <c r="I5" s="5">
        <f>I3*365*I4*unit_n</f>
        <v>1451576.4642914336</v>
      </c>
    </row>
    <row r="6" spans="1:9" x14ac:dyDescent="0.25">
      <c r="A6" t="s">
        <v>167</v>
      </c>
      <c r="C6" s="5">
        <f>clean_base*C3/occ_stab</f>
        <v>117012.36363636362</v>
      </c>
      <c r="D6" s="5">
        <f>clean_base*D3/occ_stab</f>
        <v>121631.27272727272</v>
      </c>
      <c r="E6" s="5">
        <f>clean_base*E3/occ_stab</f>
        <v>126250.0468363636</v>
      </c>
      <c r="F6" s="5">
        <f>clean_base*F3/occ_stab</f>
        <v>126250.0468363636</v>
      </c>
      <c r="G6" s="5">
        <f>clean_base*G3/occ_stab</f>
        <v>126250.0468363636</v>
      </c>
      <c r="H6" s="5">
        <f>clean_base*H3/occ_stab</f>
        <v>126250.0468363636</v>
      </c>
      <c r="I6" s="5">
        <f>clean_base*I3/occ_stab</f>
        <v>126250.0468363636</v>
      </c>
    </row>
    <row r="7" spans="1:9" x14ac:dyDescent="0.25">
      <c r="A7" t="s">
        <v>168</v>
      </c>
      <c r="C7" s="5">
        <f>mtr_rent_a*(1+mtr_rinfl)^MAX(0,1-2)</f>
        <v>116421.81818181815</v>
      </c>
      <c r="D7" s="5">
        <f>mtr_rent_a*(1+mtr_rinfl)^MAX(0,2-2)</f>
        <v>116421.81818181815</v>
      </c>
      <c r="E7" s="5">
        <f>mtr_rent_a*(1+mtr_rinfl)^MAX(0,3-2)</f>
        <v>118750.25454545452</v>
      </c>
      <c r="F7" s="5">
        <f>mtr_rent_a*(1+mtr_rinfl)^MAX(0,4-2)</f>
        <v>121125.2596363636</v>
      </c>
      <c r="G7" s="5">
        <f>mtr_rent_a*(1+mtr_rinfl)^MAX(0,5-2)</f>
        <v>123547.76482909088</v>
      </c>
      <c r="H7" s="5">
        <f>mtr_rent_a*(1+mtr_rinfl)^MAX(0,6-2)</f>
        <v>126018.72012567268</v>
      </c>
      <c r="I7" s="5">
        <f>mtr_rent_a*(1+mtr_rinfl)^MAX(0,7-2)</f>
        <v>128539.09452818615</v>
      </c>
    </row>
    <row r="8" spans="1:9" x14ac:dyDescent="0.25">
      <c r="A8" t="s">
        <v>169</v>
      </c>
      <c r="C8" s="5">
        <f>(anc_a+anc_units)*(1+cost_infl)^MAX(0,1-2)</f>
        <v>50400</v>
      </c>
      <c r="D8" s="5">
        <f>(anc_a+anc_units)*(1+cost_infl)^MAX(0,2-2)</f>
        <v>50400</v>
      </c>
      <c r="E8" s="5">
        <f>(anc_a+anc_units)*(1+cost_infl)^MAX(0,3-2)</f>
        <v>51408</v>
      </c>
      <c r="F8" s="5">
        <f>(anc_a+anc_units)*(1+cost_infl)^MAX(0,4-2)</f>
        <v>52436.159999999996</v>
      </c>
      <c r="G8" s="5">
        <f>(anc_a+anc_units)*(1+cost_infl)^MAX(0,5-2)</f>
        <v>53484.88320000001</v>
      </c>
      <c r="H8" s="5">
        <f>(anc_a+anc_units)*(1+cost_infl)^MAX(0,6-2)</f>
        <v>54554.580863999996</v>
      </c>
      <c r="I8" s="5">
        <f>(anc_a+anc_units)*(1+cost_infl)^MAX(0,7-2)</f>
        <v>55645.67248128</v>
      </c>
    </row>
    <row r="9" spans="1:9" x14ac:dyDescent="0.25">
      <c r="A9" s="3" t="s">
        <v>170</v>
      </c>
      <c r="C9" s="5">
        <f>C5+C6+C7+C8</f>
        <v>1441445.7782193848</v>
      </c>
      <c r="D9" s="5">
        <f>D5+D6+D7+D8</f>
        <v>1555091.8182732884</v>
      </c>
      <c r="E9" s="5">
        <f>E5+E6+E7+E8</f>
        <v>1637440.5784451985</v>
      </c>
      <c r="F9" s="5">
        <f>F5+F6+F7+F8</f>
        <v>1667664.389077375</v>
      </c>
      <c r="G9" s="5">
        <f>G5+G6+G7+G8</f>
        <v>1698492.6759221957</v>
      </c>
      <c r="H9" s="5">
        <f>H5+H6+H7+H8</f>
        <v>1729937.528503912</v>
      </c>
      <c r="I9" s="5">
        <f>I5+I6+I7+I8</f>
        <v>1762011.2781372634</v>
      </c>
    </row>
    <row r="10" spans="1:9" x14ac:dyDescent="0.25">
      <c r="A10" t="s">
        <v>171</v>
      </c>
      <c r="C10" s="5">
        <f>-(C5+C6)*comm_pct</f>
        <v>-216686.07320638635</v>
      </c>
      <c r="D10" s="5">
        <f>-(D5+D6)*comm_pct</f>
        <v>-236005.90001554997</v>
      </c>
      <c r="E10" s="5">
        <f>-(E5+E6)*comm_pct</f>
        <v>-249437.9950629565</v>
      </c>
      <c r="F10" s="5">
        <f>-(F5+F6)*comm_pct</f>
        <v>-253997.50480497198</v>
      </c>
      <c r="G10" s="5">
        <f>-(G5+G6)*comm_pct</f>
        <v>-258648.20474182785</v>
      </c>
      <c r="H10" s="5">
        <f>-(H5+H6)*comm_pct</f>
        <v>-263391.9186774207</v>
      </c>
      <c r="I10" s="5">
        <f>-(I5+I6)*comm_pct</f>
        <v>-268230.5068917255</v>
      </c>
    </row>
    <row r="11" spans="1:9" x14ac:dyDescent="0.25">
      <c r="A11" t="s">
        <v>172</v>
      </c>
      <c r="C11" s="5">
        <f>-turn_base*C3/occ_stab*hk_hours*hk_rate*C35</f>
        <v>-95869.44000000003</v>
      </c>
      <c r="D11" s="5">
        <f>-turn_base*D3/occ_stab*hk_hours*hk_rate*D35</f>
        <v>-101646.83520000005</v>
      </c>
      <c r="E11" s="5">
        <f>-turn_base*E3/occ_stab*hk_hours*hk_rate*E35</f>
        <v>-107616.86337208321</v>
      </c>
      <c r="F11" s="5">
        <f>-turn_base*F3/occ_stab*hk_hours*hk_rate*F35</f>
        <v>-109769.2006395249</v>
      </c>
      <c r="G11" s="5">
        <f>-turn_base*G3/occ_stab*hk_hours*hk_rate*G35</f>
        <v>-111964.58465231537</v>
      </c>
      <c r="H11" s="5">
        <f>-turn_base*H3/occ_stab*hk_hours*hk_rate*H35</f>
        <v>-114203.87634536168</v>
      </c>
      <c r="I11" s="5">
        <f>-turn_base*I3/occ_stab*hk_hours*hk_rate*I35</f>
        <v>-116487.95387226893</v>
      </c>
    </row>
    <row r="12" spans="1:9" x14ac:dyDescent="0.25">
      <c r="A12" t="s">
        <v>173</v>
      </c>
      <c r="C12" s="5">
        <f>-turn_base*C3/occ_stab*linen_t*C35</f>
        <v>-17753.600000000006</v>
      </c>
      <c r="D12" s="5">
        <f>-turn_base*D3/occ_stab*linen_t*D35</f>
        <v>-18823.48800000001</v>
      </c>
      <c r="E12" s="5">
        <f>-turn_base*E3/occ_stab*linen_t*E35</f>
        <v>-19929.048772608006</v>
      </c>
      <c r="F12" s="5">
        <f>-turn_base*F3/occ_stab*linen_t*F35</f>
        <v>-20327.629748060168</v>
      </c>
      <c r="G12" s="5">
        <f>-turn_base*G3/occ_stab*linen_t*G35</f>
        <v>-20734.18234302137</v>
      </c>
      <c r="H12" s="5">
        <f>-turn_base*H3/occ_stab*linen_t*H35</f>
        <v>-21148.865989881797</v>
      </c>
      <c r="I12" s="5">
        <f>-turn_base*I3/occ_stab*linen_t*I35</f>
        <v>-21571.843309679432</v>
      </c>
    </row>
    <row r="13" spans="1:9" x14ac:dyDescent="0.25">
      <c r="A13" t="s">
        <v>174</v>
      </c>
      <c r="C13" s="5">
        <f>-turn_base*C3/occ_stab*amen_t*C35</f>
        <v>-10652.160000000003</v>
      </c>
      <c r="D13" s="5">
        <f>-turn_base*D3/occ_stab*amen_t*D35</f>
        <v>-11294.092800000006</v>
      </c>
      <c r="E13" s="5">
        <f>-turn_base*E3/occ_stab*amen_t*E35</f>
        <v>-11957.429263564803</v>
      </c>
      <c r="F13" s="5">
        <f>-turn_base*F3/occ_stab*amen_t*F35</f>
        <v>-12196.577848836101</v>
      </c>
      <c r="G13" s="5">
        <f>-turn_base*G3/occ_stab*amen_t*G35</f>
        <v>-12440.50940581282</v>
      </c>
      <c r="H13" s="5">
        <f>-turn_base*H3/occ_stab*amen_t*H35</f>
        <v>-12689.319593929078</v>
      </c>
      <c r="I13" s="5">
        <f>-turn_base*I3/occ_stab*amen_t*I35</f>
        <v>-12943.105985807659</v>
      </c>
    </row>
    <row r="14" spans="1:9" x14ac:dyDescent="0.25">
      <c r="A14" s="3" t="s">
        <v>175</v>
      </c>
      <c r="C14" s="5">
        <f>C10+C11+C12+C13</f>
        <v>-340961.27320638637</v>
      </c>
      <c r="D14" s="5">
        <f>D10+D11+D12+D13</f>
        <v>-367770.31601555005</v>
      </c>
      <c r="E14" s="5">
        <f>E10+E11+E12+E13</f>
        <v>-388941.33647121256</v>
      </c>
      <c r="F14" s="5">
        <f>F10+F11+F12+F13</f>
        <v>-396290.91304139316</v>
      </c>
      <c r="G14" s="5">
        <f>G10+G11+G12+G13</f>
        <v>-403787.4811429774</v>
      </c>
      <c r="H14" s="5">
        <f>H10+H11+H12+H13</f>
        <v>-411433.98060659325</v>
      </c>
      <c r="I14" s="5">
        <f>I10+I11+I12+I13</f>
        <v>-419233.41005948157</v>
      </c>
    </row>
    <row r="15" spans="1:9" x14ac:dyDescent="0.25">
      <c r="A15" t="s">
        <v>176</v>
      </c>
      <c r="C15" s="5">
        <f>-admin_m*12*C35</f>
        <v>-2400</v>
      </c>
      <c r="D15" s="5">
        <f>-admin_m*12*D35</f>
        <v>-2448</v>
      </c>
      <c r="E15" s="5">
        <f>-admin_m*12*E35</f>
        <v>-2496.96</v>
      </c>
      <c r="F15" s="5">
        <f>-admin_m*12*F35</f>
        <v>-2546.8992000000003</v>
      </c>
      <c r="G15" s="5">
        <f>-admin_m*12*G35</f>
        <v>-2597.837184</v>
      </c>
      <c r="H15" s="5">
        <f>-admin_m*12*H35</f>
        <v>-2649.7939276800003</v>
      </c>
      <c r="I15" s="5">
        <f>-admin_m*12*I35</f>
        <v>-2702.7898062336003</v>
      </c>
    </row>
    <row r="16" spans="1:9" x14ac:dyDescent="0.25">
      <c r="A16" t="s">
        <v>177</v>
      </c>
      <c r="C16" s="5">
        <f>-(unit_n*util_m+mtr_n*mtr_util_m+cost_unit_n*commu_m)*12*C35</f>
        <v>-54336</v>
      </c>
      <c r="D16" s="5">
        <f>-(unit_n*util_m+mtr_n*mtr_util_m+cost_unit_n*commu_m)*12*D35</f>
        <v>-55422.72</v>
      </c>
      <c r="E16" s="5">
        <f>-(unit_n*util_m+mtr_n*mtr_util_m+cost_unit_n*commu_m)*12*E35</f>
        <v>-56531.174399999996</v>
      </c>
      <c r="F16" s="5">
        <f>-(unit_n*util_m+mtr_n*mtr_util_m+cost_unit_n*commu_m)*12*F35</f>
        <v>-57661.79788800001</v>
      </c>
      <c r="G16" s="5">
        <f>-(unit_n*util_m+mtr_n*mtr_util_m+cost_unit_n*commu_m)*12*G35</f>
        <v>-58815.03384576</v>
      </c>
      <c r="H16" s="5">
        <f>-(unit_n*util_m+mtr_n*mtr_util_m+cost_unit_n*commu_m)*12*H35</f>
        <v>-59991.3345226752</v>
      </c>
      <c r="I16" s="5">
        <f>-(unit_n*util_m+mtr_n*mtr_util_m+cost_unit_n*commu_m)*12*I35</f>
        <v>-61191.16121312871</v>
      </c>
    </row>
    <row r="17" spans="1:9" x14ac:dyDescent="0.25">
      <c r="A17" t="s">
        <v>178</v>
      </c>
      <c r="C17" s="5">
        <f>-C9*maint_pct</f>
        <v>-17297.34933863262</v>
      </c>
      <c r="D17" s="5">
        <f>-D9*maint_pct</f>
        <v>-18661.10181927946</v>
      </c>
      <c r="E17" s="5">
        <f>-E9*maint_pct</f>
        <v>-19649.286941342383</v>
      </c>
      <c r="F17" s="5">
        <f>-F9*maint_pct</f>
        <v>-20011.972668928498</v>
      </c>
      <c r="G17" s="5">
        <f>-G9*maint_pct</f>
        <v>-20381.912111066347</v>
      </c>
      <c r="H17" s="5">
        <f>-H9*maint_pct</f>
        <v>-20759.250342046944</v>
      </c>
      <c r="I17" s="5">
        <f>-I9*maint_pct</f>
        <v>-21144.13533764716</v>
      </c>
    </row>
    <row r="18" spans="1:9" x14ac:dyDescent="0.25">
      <c r="A18" t="s">
        <v>179</v>
      </c>
      <c r="C18" s="5">
        <f>-cost_unit_n*12*it_m*C35</f>
        <v>-21120</v>
      </c>
      <c r="D18" s="5">
        <f>-cost_unit_n*12*it_m*D35</f>
        <v>-21542.4</v>
      </c>
      <c r="E18" s="5">
        <f>-cost_unit_n*12*it_m*E35</f>
        <v>-21973.248</v>
      </c>
      <c r="F18" s="5">
        <f>-cost_unit_n*12*it_m*F35</f>
        <v>-22412.712960000004</v>
      </c>
      <c r="G18" s="5">
        <f>-cost_unit_n*12*it_m*G35</f>
        <v>-22860.9672192</v>
      </c>
      <c r="H18" s="5">
        <f>-cost_unit_n*12*it_m*H35</f>
        <v>-23318.186563584</v>
      </c>
      <c r="I18" s="5">
        <f>-cost_unit_n*12*it_m*I35</f>
        <v>-23784.550294855682</v>
      </c>
    </row>
    <row r="19" spans="1:9" x14ac:dyDescent="0.25">
      <c r="A19" t="s">
        <v>180</v>
      </c>
      <c r="C19" s="5">
        <f>IF(1=1,-3500*1,0)</f>
        <v>-3500</v>
      </c>
      <c r="D19" s="5">
        <f>IF(2=1,-3500*1,0)</f>
        <v>0</v>
      </c>
      <c r="E19" s="5">
        <f>IF(3=1,-3500*1,0)</f>
        <v>0</v>
      </c>
      <c r="F19" s="5">
        <f>IF(4=1,-3500*1,0)</f>
        <v>0</v>
      </c>
      <c r="G19" s="5">
        <f>IF(5=1,-3500*1,0)</f>
        <v>0</v>
      </c>
      <c r="H19" s="5">
        <f>IF(6=1,-3500*1,0)</f>
        <v>0</v>
      </c>
      <c r="I19" s="5">
        <f>IF(7=1,-3500*1,0)</f>
        <v>0</v>
      </c>
    </row>
    <row r="20" spans="1:9" x14ac:dyDescent="0.25">
      <c r="A20" t="s">
        <v>181</v>
      </c>
      <c r="C20" s="5">
        <f>-15000*C35</f>
        <v>-15000</v>
      </c>
      <c r="D20" s="5">
        <f>-15000*D35</f>
        <v>-15300</v>
      </c>
      <c r="E20" s="5">
        <f>-15000*E35</f>
        <v>-15606</v>
      </c>
      <c r="F20" s="5">
        <f>-15000*F35</f>
        <v>-15918.120000000003</v>
      </c>
      <c r="G20" s="5">
        <f>-15000*G35</f>
        <v>-16236.482399999999</v>
      </c>
      <c r="H20" s="5">
        <f>-15000*H35</f>
        <v>-16561.212048</v>
      </c>
      <c r="I20" s="5">
        <f>-15000*I35</f>
        <v>-16892.43628896</v>
      </c>
    </row>
    <row r="21" spans="1:9" x14ac:dyDescent="0.25">
      <c r="A21" t="s">
        <v>182</v>
      </c>
      <c r="C21" s="5">
        <f>-4*cost_unit_n*12*C35</f>
        <v>-2112</v>
      </c>
      <c r="D21" s="5">
        <f>-4*cost_unit_n*12*D35</f>
        <v>-2154.2400000000002</v>
      </c>
      <c r="E21" s="5">
        <f>-4*cost_unit_n*12*E35</f>
        <v>-2197.3248</v>
      </c>
      <c r="F21" s="5">
        <f>-4*cost_unit_n*12*F35</f>
        <v>-2241.2712960000003</v>
      </c>
      <c r="G21" s="5">
        <f>-4*cost_unit_n*12*G35</f>
        <v>-2286.09672192</v>
      </c>
      <c r="H21" s="5">
        <f>-4*cost_unit_n*12*H35</f>
        <v>-2331.8186563584</v>
      </c>
      <c r="I21" s="5">
        <f>-4*cost_unit_n*12*I35</f>
        <v>-2378.455029485568</v>
      </c>
    </row>
    <row r="22" spans="1:9" x14ac:dyDescent="0.25">
      <c r="A22" s="3" t="s">
        <v>183</v>
      </c>
      <c r="C22" s="5">
        <f>C15+C16+C17+C18+C19+C20+C21</f>
        <v>-115765.34933863262</v>
      </c>
      <c r="D22" s="5">
        <f>D15+D16+D17+D18+D19+D20+D21</f>
        <v>-115528.46181927946</v>
      </c>
      <c r="E22" s="5">
        <f>E15+E16+E17+E18+E19+E20+E21</f>
        <v>-118453.99414134238</v>
      </c>
      <c r="F22" s="5">
        <f>F15+F16+F17+F18+F19+F20+F21</f>
        <v>-120792.77401292851</v>
      </c>
      <c r="G22" s="5">
        <f>G15+G16+G17+G18+G19+G20+G21</f>
        <v>-123178.32948194636</v>
      </c>
      <c r="H22" s="5">
        <f>H15+H16+H17+H18+H19+H20+H21</f>
        <v>-125611.59606034456</v>
      </c>
      <c r="I22" s="5">
        <f>I15+I16+I17+I18+I19+I20+I21</f>
        <v>-128093.52797031074</v>
      </c>
    </row>
    <row r="23" spans="1:9" x14ac:dyDescent="0.25">
      <c r="A23" s="3" t="s">
        <v>184</v>
      </c>
      <c r="C23" s="5">
        <f>C9+C14+C22</f>
        <v>984719.1556743658</v>
      </c>
      <c r="D23" s="5">
        <f>D9+D14+D22</f>
        <v>1071793.0404384588</v>
      </c>
      <c r="E23" s="5">
        <f>E9+E14+E22</f>
        <v>1130045.2478326438</v>
      </c>
      <c r="F23" s="5">
        <f>F9+F14+F22</f>
        <v>1150580.7020230535</v>
      </c>
      <c r="G23" s="5">
        <f>G9+G14+G22</f>
        <v>1171526.8652972719</v>
      </c>
      <c r="H23" s="5">
        <f>H9+H14+H22</f>
        <v>1192891.9518369741</v>
      </c>
      <c r="I23" s="5">
        <f>I9+I14+I22</f>
        <v>1214684.3401074708</v>
      </c>
    </row>
    <row r="24" spans="1:9" x14ac:dyDescent="0.25">
      <c r="A24" t="s">
        <v>185</v>
      </c>
      <c r="C24" s="5">
        <f>-C9*mgmt_pct</f>
        <v>-223424.09562400464</v>
      </c>
      <c r="D24" s="5">
        <f>-D9*mgmt_pct</f>
        <v>-241039.2318323597</v>
      </c>
      <c r="E24" s="5">
        <f>-E9*mgmt_pct</f>
        <v>-253803.28965900576</v>
      </c>
      <c r="F24" s="5">
        <f>-F9*mgmt_pct</f>
        <v>-258487.98030699312</v>
      </c>
      <c r="G24" s="5">
        <f>-G9*mgmt_pct</f>
        <v>-263266.3647679403</v>
      </c>
      <c r="H24" s="5">
        <f>-H9*mgmt_pct</f>
        <v>-268140.31691810634</v>
      </c>
      <c r="I24" s="5">
        <f>-I9*mgmt_pct</f>
        <v>-273111.74811127584</v>
      </c>
    </row>
    <row r="25" spans="1:9" x14ac:dyDescent="0.25">
      <c r="A25" s="3" t="s">
        <v>186</v>
      </c>
      <c r="C25" s="5">
        <f>C24</f>
        <v>-223424.09562400464</v>
      </c>
      <c r="D25" s="5">
        <f>D24</f>
        <v>-241039.2318323597</v>
      </c>
      <c r="E25" s="5">
        <f>E24</f>
        <v>-253803.28965900576</v>
      </c>
      <c r="F25" s="5">
        <f>F24</f>
        <v>-258487.98030699312</v>
      </c>
      <c r="G25" s="5">
        <f>G24</f>
        <v>-263266.3647679403</v>
      </c>
      <c r="H25" s="5">
        <f>H24</f>
        <v>-268140.31691810634</v>
      </c>
      <c r="I25" s="5">
        <f>I24</f>
        <v>-273111.74811127584</v>
      </c>
    </row>
    <row r="26" spans="1:9" x14ac:dyDescent="0.25">
      <c r="A26" s="3" t="s">
        <v>187</v>
      </c>
      <c r="C26" s="5">
        <f>C23+C25</f>
        <v>761295.0600503612</v>
      </c>
      <c r="D26" s="5">
        <f>D23+D25</f>
        <v>830753.8086060991</v>
      </c>
      <c r="E26" s="5">
        <f>E23+E25</f>
        <v>876241.958173638</v>
      </c>
      <c r="F26" s="5">
        <f>F23+F25</f>
        <v>892092.7217160603</v>
      </c>
      <c r="G26" s="5">
        <f>G23+G25</f>
        <v>908260.5005293316</v>
      </c>
      <c r="H26" s="5">
        <f>H23+H25</f>
        <v>924751.6349188678</v>
      </c>
      <c r="I26" s="5">
        <f>I23+I25</f>
        <v>941572.591996195</v>
      </c>
    </row>
    <row r="27" spans="1:9" x14ac:dyDescent="0.25">
      <c r="A27" t="s">
        <v>188</v>
      </c>
      <c r="C27" s="5">
        <f>-ibi_a*C35</f>
        <v>-14000</v>
      </c>
      <c r="D27" s="5">
        <f>-ibi_a*D35</f>
        <v>-14280</v>
      </c>
      <c r="E27" s="5">
        <f>-ibi_a*E35</f>
        <v>-14565.6</v>
      </c>
      <c r="F27" s="5">
        <f>-ibi_a*F35</f>
        <v>-14856.912000000002</v>
      </c>
      <c r="G27" s="5">
        <f>-ibi_a*G35</f>
        <v>-15154.05024</v>
      </c>
      <c r="H27" s="5">
        <f>-ibi_a*H35</f>
        <v>-15457.1312448</v>
      </c>
      <c r="I27" s="5">
        <f>-ibi_a*I35</f>
        <v>-15766.273869696</v>
      </c>
    </row>
    <row r="28" spans="1:9" x14ac:dyDescent="0.25">
      <c r="A28" t="s">
        <v>189</v>
      </c>
      <c r="C28" s="5">
        <f>-cost_unit_n*12*ins_m*C35</f>
        <v>-7920</v>
      </c>
      <c r="D28" s="5">
        <f>-cost_unit_n*12*ins_m*D35</f>
        <v>-8078.400000000001</v>
      </c>
      <c r="E28" s="5">
        <f>-cost_unit_n*12*ins_m*E35</f>
        <v>-8239.968</v>
      </c>
      <c r="F28" s="5">
        <f>-cost_unit_n*12*ins_m*F35</f>
        <v>-8404.767360000002</v>
      </c>
      <c r="G28" s="5">
        <f>-cost_unit_n*12*ins_m*G35</f>
        <v>-8572.8627072</v>
      </c>
      <c r="H28" s="5">
        <f>-cost_unit_n*12*ins_m*H35</f>
        <v>-8744.319961344</v>
      </c>
      <c r="I28" s="5">
        <f>-cost_unit_n*12*ins_m*I35</f>
        <v>-8919.20636057088</v>
      </c>
    </row>
    <row r="29" spans="1:9" x14ac:dyDescent="0.25">
      <c r="A29" s="3" t="s">
        <v>190</v>
      </c>
      <c r="C29" s="5">
        <f>C27+C28</f>
        <v>-21920</v>
      </c>
      <c r="D29" s="5">
        <f>D27+D28</f>
        <v>-22358.4</v>
      </c>
      <c r="E29" s="5">
        <f>E27+E28</f>
        <v>-22805.568</v>
      </c>
      <c r="F29" s="5">
        <f>F27+F28</f>
        <v>-23261.679360000002</v>
      </c>
      <c r="G29" s="5">
        <f>G27+G28</f>
        <v>-23726.9129472</v>
      </c>
      <c r="H29" s="5">
        <f>H27+H28</f>
        <v>-24201.451206144</v>
      </c>
      <c r="I29" s="5">
        <f>I27+I28</f>
        <v>-24685.480230266883</v>
      </c>
    </row>
    <row r="30" spans="1:9" x14ac:dyDescent="0.25">
      <c r="A30" s="3" t="s">
        <v>191</v>
      </c>
      <c r="C30" s="5">
        <f>C26+C29</f>
        <v>739375.0600503612</v>
      </c>
      <c r="D30" s="5">
        <f>D26+D29</f>
        <v>808395.4086060991</v>
      </c>
      <c r="E30" s="5">
        <f>E26+E29</f>
        <v>853436.390173638</v>
      </c>
      <c r="F30" s="5">
        <f>F26+F29</f>
        <v>868831.0423560604</v>
      </c>
      <c r="G30" s="5">
        <f>G26+G29</f>
        <v>884533.5875821316</v>
      </c>
      <c r="H30" s="5">
        <f>H26+H29</f>
        <v>900550.1837127239</v>
      </c>
      <c r="I30" s="5">
        <f>I26+I29</f>
        <v>916887.1117659281</v>
      </c>
    </row>
    <row r="31" spans="1:9" x14ac:dyDescent="0.25">
      <c r="A31" t="s">
        <v>192</v>
      </c>
      <c r="C31" s="5">
        <f>-C9*ffe_pct</f>
        <v>-36036.144455484624</v>
      </c>
      <c r="D31" s="5">
        <f>-D9*ffe_pct</f>
        <v>-38877.29545683221</v>
      </c>
      <c r="E31" s="5">
        <f>-E9*ffe_pct</f>
        <v>-40936.01446112996</v>
      </c>
      <c r="F31" s="5">
        <f>-F9*ffe_pct</f>
        <v>-41691.60972693437</v>
      </c>
      <c r="G31" s="5">
        <f>-G9*ffe_pct</f>
        <v>-42462.316898054894</v>
      </c>
      <c r="H31" s="5">
        <f>-H9*ffe_pct</f>
        <v>-43248.4382125978</v>
      </c>
      <c r="I31" s="5">
        <f>-I9*ffe_pct</f>
        <v>-44050.281953431586</v>
      </c>
    </row>
    <row r="32" spans="1:9" x14ac:dyDescent="0.25">
      <c r="A32" s="3" t="s">
        <v>193</v>
      </c>
      <c r="C32" s="5">
        <f>C30+C31</f>
        <v>703338.9155948766</v>
      </c>
      <c r="D32" s="5">
        <f>D30+D31</f>
        <v>769518.1131492669</v>
      </c>
      <c r="E32" s="5">
        <f>E30+E31</f>
        <v>812500.375712508</v>
      </c>
      <c r="F32" s="5">
        <f>F30+F31</f>
        <v>827139.4326291259</v>
      </c>
      <c r="G32" s="5">
        <f>G30+G31</f>
        <v>842071.2706840767</v>
      </c>
      <c r="H32" s="5">
        <f>H30+H31</f>
        <v>857301.745500126</v>
      </c>
      <c r="I32" s="5">
        <f>I30+I31</f>
        <v>872836.8298124967</v>
      </c>
    </row>
    <row r="34" spans="1:9" x14ac:dyDescent="0.25">
      <c r="A34" t="s">
        <v>194</v>
      </c>
      <c r="C34" s="5">
        <f>C5+C6+C10+C11+C12+C13</f>
        <v>933662.6868311804</v>
      </c>
      <c r="D34" s="5">
        <f>D5+D6+D10+D11+D12+D13</f>
        <v>1020499.6840759203</v>
      </c>
      <c r="E34" s="5">
        <f>E5+E6+E10+E11+E12+E13</f>
        <v>1078340.9874285315</v>
      </c>
      <c r="F34" s="5">
        <f>F5+F6+F10+F11+F12+F13</f>
        <v>1097812.0563996183</v>
      </c>
      <c r="G34" s="5">
        <f>G5+G6+G10+G11+G12+G13</f>
        <v>1117672.5467501273</v>
      </c>
      <c r="H34" s="5">
        <f>H5+H6+H10+H11+H12+H13</f>
        <v>1137930.246907646</v>
      </c>
      <c r="I34" s="5">
        <f>I5+I6+I10+I11+I12+I13</f>
        <v>1158593.1010683156</v>
      </c>
    </row>
    <row r="35" spans="1:9" x14ac:dyDescent="0.25">
      <c r="A35" t="s">
        <v>195</v>
      </c>
      <c r="C35" s="13">
        <f>(1+cost_infl)^0</f>
        <v>1</v>
      </c>
      <c r="D35" s="13">
        <f>(1+cost_infl)^1</f>
        <v>1.02</v>
      </c>
      <c r="E35" s="13">
        <f>(1+cost_infl)^2</f>
        <v>1.0404</v>
      </c>
      <c r="F35" s="13">
        <f>(1+cost_infl)^3</f>
        <v>1.0612080000000002</v>
      </c>
      <c r="G35" s="13">
        <f>(1+cost_infl)^4</f>
        <v>1.08243216</v>
      </c>
      <c r="H35" s="13">
        <f>(1+cost_infl)^5</f>
        <v>1.1040808032</v>
      </c>
      <c r="I35" s="13">
        <f>(1+cost_infl)^6</f>
        <v>1.126162419264</v>
      </c>
    </row>
    <row r="36" spans="1:9" x14ac:dyDescent="0.25">
      <c r="A36" t="s">
        <v>196</v>
      </c>
      <c r="C36" s="5">
        <f>C34+C15+C16+C17+C18+C24+C27+C28+C31+C8+C7</f>
        <v>723950.9155948766</v>
      </c>
      <c r="D36" s="5">
        <f>D34+D15+D16+D17+D18+D24+D27+D28+D31+D8+D7</f>
        <v>786972.3531492669</v>
      </c>
      <c r="E36" s="5">
        <f>E34+E15+E16+E17+E18+E24+E27+E28+E31+E8+E7</f>
        <v>830303.7005125079</v>
      </c>
      <c r="F36" s="5">
        <f>F34+F15+F16+F17+F18+F24+F27+F28+F31+F8+F7</f>
        <v>845298.8239251259</v>
      </c>
      <c r="G36" s="5">
        <f>G34+G15+G16+G17+G18+G24+G27+G28+G31+G8+G7</f>
        <v>860593.8498059968</v>
      </c>
      <c r="H36" s="5">
        <f>H34+H15+H16+H17+H18+H24+H27+H28+H31+H8+H7</f>
        <v>876194.7762044844</v>
      </c>
      <c r="I36" s="5">
        <f>I34+I15+I16+I17+I18+I24+I27+I28+I31+I8+I7</f>
        <v>892107.7211309422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9" width="12" customWidth="1"/>
  </cols>
  <sheetData>
    <row r="1" spans="1:1" x14ac:dyDescent="0.25">
      <c r="A1" s="2" t="s">
        <v>197</v>
      </c>
    </row>
    <row r="3" spans="1:2" x14ac:dyDescent="0.25">
      <c r="A3" t="s">
        <v>13</v>
      </c>
      <c r="B3" s="5">
        <f>ltv*tpc</f>
        <v>4820943.87755102</v>
      </c>
    </row>
    <row r="4" spans="1:2" x14ac:dyDescent="0.25">
      <c r="A4" t="s">
        <v>15</v>
      </c>
      <c r="B4" s="5">
        <f>apertura_pct*B3+ajdm_pct*B3+tasacion_u*units_c+notaria_pct*B3+registro_pct*B3+gestoria_f</f>
        <v>111329.3494897959</v>
      </c>
    </row>
    <row r="5" spans="1:2" x14ac:dyDescent="0.25">
      <c r="A5" t="s">
        <v>16</v>
      </c>
      <c r="B5" s="5">
        <f>tpc-B3+B4</f>
        <v>4932273.227040816</v>
      </c>
    </row>
    <row r="6" spans="1:2" x14ac:dyDescent="0.25">
      <c r="A6" t="s">
        <v>19</v>
      </c>
      <c r="B6" s="5">
        <f>B5*(1-gp_pct)</f>
        <v>3945818.5816326533</v>
      </c>
    </row>
    <row r="7" spans="1:2" x14ac:dyDescent="0.25">
      <c r="A7" t="s">
        <v>20</v>
      </c>
      <c r="B7" s="5">
        <f>B5*gp_pct</f>
        <v>986454.6454081633</v>
      </c>
    </row>
    <row r="8" spans="1:2" x14ac:dyDescent="0.25">
      <c r="A8" t="s">
        <v>21</v>
      </c>
      <c r="B8" s="5">
        <f>-PMT(rate/12,term*12,B3)*12</f>
        <v>392591.6193747195</v>
      </c>
    </row>
    <row r="10" spans="3:9" x14ac:dyDescent="0.25">
      <c r="C10" s="3" t="s">
        <v>158</v>
      </c>
      <c r="D10" s="3" t="s">
        <v>159</v>
      </c>
      <c r="E10" s="3" t="s">
        <v>160</v>
      </c>
      <c r="F10" s="3" t="s">
        <v>161</v>
      </c>
      <c r="G10" s="3" t="s">
        <v>162</v>
      </c>
      <c r="H10" s="3" t="s">
        <v>163</v>
      </c>
      <c r="I10" s="3" t="s">
        <v>164</v>
      </c>
    </row>
    <row r="11" spans="1:9" x14ac:dyDescent="0.25">
      <c r="A11" t="s">
        <v>193</v>
      </c>
      <c r="C11" s="5">
        <f>'P&amp;L'!C32</f>
        <v>703338.9155948766</v>
      </c>
      <c r="D11" s="5">
        <f>'P&amp;L'!D32</f>
        <v>769518.1131492669</v>
      </c>
      <c r="E11" s="5">
        <f>'P&amp;L'!E32</f>
        <v>812500.375712508</v>
      </c>
      <c r="F11" s="5">
        <f>'P&amp;L'!F32</f>
        <v>827139.4326291259</v>
      </c>
      <c r="G11" s="5">
        <f>'P&amp;L'!G32</f>
        <v>842071.2706840767</v>
      </c>
      <c r="H11" s="5">
        <f>'P&amp;L'!H32</f>
        <v>857301.745500126</v>
      </c>
      <c r="I11" s="5">
        <f>'P&amp;L'!I32</f>
        <v>872836.8298124967</v>
      </c>
    </row>
    <row r="12" spans="1:9" x14ac:dyDescent="0.25">
      <c r="A12" t="s">
        <v>198</v>
      </c>
      <c r="C12" s="5">
        <f>IF(B$3=0,0,CUMIPMT(rate/12,term*12,B$3,1,12,0))</f>
        <v>-129273.5115398236</v>
      </c>
      <c r="D12" s="5">
        <f>IF(B$3=0,0,CUMIPMT(rate/12,term*12,B$3,13,24,0))</f>
        <v>-121940.29286937909</v>
      </c>
      <c r="E12" s="5">
        <f>IF(B$3=0,0,CUMIPMT(rate/12,term*12,B$3,25,36,0))</f>
        <v>-114402.84936794704</v>
      </c>
      <c r="F12" s="5">
        <f>IF(B$3=0,0,CUMIPMT(rate/12,term*12,B$3,37,48,0))</f>
        <v>-106655.49352183573</v>
      </c>
      <c r="G12" s="5">
        <f>IF(B$3=0,0,CUMIPMT(rate/12,term*12,B$3,49,60,0))</f>
        <v>-98692.37942421473</v>
      </c>
      <c r="H12" s="5">
        <f>IF(B$3=0,0,CUMIPMT(rate/12,term*12,B$3,61,72,0))</f>
        <v>-90507.49836398076</v>
      </c>
      <c r="I12" s="5">
        <f>IF(B$3=0,0,CUMIPMT(rate/12,term*12,B$3,73,84,0))</f>
        <v>-82094.6742917762</v>
      </c>
    </row>
    <row r="13" spans="1:9" x14ac:dyDescent="0.25">
      <c r="A13" t="s">
        <v>199</v>
      </c>
      <c r="C13" s="5">
        <f>IF(B$3=0,0,CUMPRINC(rate/12,term*12,B$3,1,12,0))</f>
        <v>-263318.10783489596</v>
      </c>
      <c r="D13" s="5">
        <f>IF(B$3=0,0,CUMPRINC(rate/12,term*12,B$3,13,24,0))</f>
        <v>-270651.3265053404</v>
      </c>
      <c r="E13" s="5">
        <f>IF(B$3=0,0,CUMPRINC(rate/12,term*12,B$3,25,36,0))</f>
        <v>-278188.7700067725</v>
      </c>
      <c r="F13" s="5">
        <f>IF(B$3=0,0,CUMPRINC(rate/12,term*12,B$3,37,48,0))</f>
        <v>-285936.12585288374</v>
      </c>
      <c r="G13" s="5">
        <f>IF(B$3=0,0,CUMPRINC(rate/12,term*12,B$3,49,60,0))</f>
        <v>-293899.23995050474</v>
      </c>
      <c r="H13" s="5">
        <f>IF(B$3=0,0,CUMPRINC(rate/12,term*12,B$3,61,72,0))</f>
        <v>-302084.1210107388</v>
      </c>
      <c r="I13" s="5">
        <f>IF(B$3=0,0,CUMPRINC(rate/12,term*12,B$3,73,84,0))</f>
        <v>-310496.94508294325</v>
      </c>
    </row>
    <row r="14" spans="1:9" x14ac:dyDescent="0.25">
      <c r="A14" t="s">
        <v>200</v>
      </c>
      <c r="C14" s="5">
        <f>C11+C12+C13</f>
        <v>310747.29622015706</v>
      </c>
      <c r="D14" s="5">
        <f>D11+D12+D13</f>
        <v>376926.4937745475</v>
      </c>
      <c r="E14" s="5">
        <f>E11+E12+E13</f>
        <v>419908.7563377884</v>
      </c>
      <c r="F14" s="5">
        <f>F11+F12+F13</f>
        <v>434547.8132544064</v>
      </c>
      <c r="G14" s="5">
        <f>G11+G12+G13</f>
        <v>449479.65130935726</v>
      </c>
      <c r="H14" s="5">
        <f>H11+H12+H13</f>
        <v>464710.1261254065</v>
      </c>
      <c r="I14" s="5">
        <f>I11+I12+I13</f>
        <v>480245.21043777716</v>
      </c>
    </row>
    <row r="15" spans="1:9" x14ac:dyDescent="0.25">
      <c r="A15" t="s">
        <v>201</v>
      </c>
      <c r="C15" s="5">
        <f>MAX(0,C14)</f>
        <v>310747.29622015706</v>
      </c>
      <c r="D15" s="5">
        <f>MAX(0,D14)</f>
        <v>376926.4937745475</v>
      </c>
      <c r="E15" s="5">
        <f>MAX(0,E14)</f>
        <v>419908.7563377884</v>
      </c>
      <c r="F15" s="5">
        <f>MAX(0,F14)</f>
        <v>434547.8132544064</v>
      </c>
      <c r="G15" s="5">
        <f>MAX(0,G14)</f>
        <v>449479.65130935726</v>
      </c>
      <c r="H15" s="5">
        <f>MAX(0,H14)</f>
        <v>464710.1261254065</v>
      </c>
      <c r="I15" s="5">
        <f>MAX(0,I14)</f>
        <v>480245.21043777716</v>
      </c>
    </row>
    <row r="16" spans="1:9" x14ac:dyDescent="0.25">
      <c r="A16" t="s">
        <v>202</v>
      </c>
      <c r="C16" s="5">
        <f>4261484.0681632655</f>
        <v>4261484.0681632655</v>
      </c>
      <c r="D16" s="5">
        <f>4333917.129682112</f>
        <v>4333917.129682112</v>
      </c>
      <c r="E16" s="5">
        <f>4354966.009435471</f>
        <v>4354966.009435471</v>
      </c>
      <c r="F16" s="5">
        <f>4340562.12471446</f>
        <v>4340562.12471446</v>
      </c>
      <c r="G16" s="5">
        <f>4312357.784039811</f>
        <v>4312357.784039811</v>
      </c>
      <c r="H16" s="5">
        <f>4268995.988031711</f>
        <v>4268995.988031711</v>
      </c>
      <c r="I16" s="5">
        <f>4209006.118101896</f>
        <v>4209006.118101896</v>
      </c>
    </row>
    <row r="17" spans="1:9" x14ac:dyDescent="0.25">
      <c r="A17" t="s">
        <v>203</v>
      </c>
      <c r="C17" s="5">
        <f>4419316.811428572</f>
        <v>4419316.811428572</v>
      </c>
      <c r="D17" s="5">
        <f>4671205.25138674</f>
        <v>4671205.25138674</v>
      </c>
      <c r="E17" s="5">
        <f>4894023.743131154</f>
        <v>4894023.743131154</v>
      </c>
      <c r="F17" s="5">
        <f>5105068.346628236</f>
        <v>5105068.346628236</v>
      </c>
      <c r="G17" s="5">
        <f>5328321.707547676</f>
        <v>5328321.707547676</v>
      </c>
      <c r="H17" s="5">
        <f>5564986.544880214</f>
        <v>5564986.544880214</v>
      </c>
      <c r="I17" s="5">
        <f>5816404.657257476</f>
        <v>5816404.657257476</v>
      </c>
    </row>
    <row r="18" spans="1:9" x14ac:dyDescent="0.25">
      <c r="A18" t="s">
        <v>204</v>
      </c>
      <c r="C18" s="5">
        <f>0</f>
        <v>0</v>
      </c>
      <c r="D18" s="5">
        <f>C18+C22</f>
        <v>248597.83697612566</v>
      </c>
      <c r="E18" s="5">
        <f>D18+D22</f>
        <v>550139.0319957637</v>
      </c>
      <c r="F18" s="5">
        <f>E18+E22</f>
        <v>886066.0370659945</v>
      </c>
      <c r="G18" s="5">
        <f>F18+F22</f>
        <v>1233704.2876695197</v>
      </c>
      <c r="H18" s="5">
        <f>G18+G22</f>
        <v>1593288.0087170056</v>
      </c>
      <c r="I18" s="5">
        <f>H18+H22</f>
        <v>1965056.1096173308</v>
      </c>
    </row>
    <row r="19" spans="1:9" x14ac:dyDescent="0.25">
      <c r="A19" t="s">
        <v>205</v>
      </c>
      <c r="C19" s="5">
        <f>310747.29622015706</f>
        <v>310747.29622015706</v>
      </c>
      <c r="D19" s="5">
        <f>376926.4937745475</f>
        <v>376926.4937745475</v>
      </c>
      <c r="E19" s="5">
        <f>419908.7563377884</f>
        <v>419908.7563377884</v>
      </c>
      <c r="F19" s="5">
        <f>434547.8132544064</f>
        <v>434547.8132544064</v>
      </c>
      <c r="G19" s="5">
        <f>449479.65130935726</f>
        <v>449479.65130935726</v>
      </c>
      <c r="H19" s="5">
        <f>464710.1261254065</f>
        <v>464710.1261254065</v>
      </c>
      <c r="I19" s="5">
        <f>480245.21043777716</f>
        <v>480245.21043777716</v>
      </c>
    </row>
    <row r="20" spans="1:9" x14ac:dyDescent="0.25">
      <c r="A20" t="s">
        <v>206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</row>
    <row r="21" spans="1:9" x14ac:dyDescent="0.25">
      <c r="A21" t="s">
        <v>207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</row>
    <row r="22" spans="1:9" x14ac:dyDescent="0.25">
      <c r="A22" t="s">
        <v>208</v>
      </c>
      <c r="C22" s="5">
        <f>248597.83697612566</f>
        <v>248597.83697612566</v>
      </c>
      <c r="D22" s="5">
        <f>301541.195019638</f>
        <v>301541.195019638</v>
      </c>
      <c r="E22" s="5">
        <f>335927.00507023075</f>
        <v>335927.00507023075</v>
      </c>
      <c r="F22" s="5">
        <f>347638.25060352514</f>
        <v>347638.25060352514</v>
      </c>
      <c r="G22" s="5">
        <f>359583.72104748583</f>
        <v>359583.72104748583</v>
      </c>
      <c r="H22" s="5">
        <f>371768.1009003252</f>
        <v>371768.1009003252</v>
      </c>
      <c r="I22" s="5">
        <f>384196.16835022176</f>
        <v>384196.16835022176</v>
      </c>
    </row>
    <row r="23" spans="1:9" x14ac:dyDescent="0.25">
      <c r="A23" t="s">
        <v>209</v>
      </c>
      <c r="C23" s="5">
        <f>62149.4592440314</f>
        <v>62149.4592440314</v>
      </c>
      <c r="D23" s="5">
        <f>75385.29875490948</f>
        <v>75385.29875490948</v>
      </c>
      <c r="E23" s="5">
        <f>83981.75126755767</f>
        <v>83981.75126755767</v>
      </c>
      <c r="F23" s="5">
        <f>86909.56265088124</f>
        <v>86909.56265088124</v>
      </c>
      <c r="G23" s="5">
        <f>89895.93026187143</f>
        <v>89895.93026187143</v>
      </c>
      <c r="H23" s="5">
        <f>92942.02522508125</f>
        <v>92942.02522508125</v>
      </c>
      <c r="I23" s="5">
        <f>96049.0420875554</f>
        <v>96049.0420875554</v>
      </c>
    </row>
    <row r="25" spans="1:2" x14ac:dyDescent="0.25">
      <c r="A25" t="s">
        <v>210</v>
      </c>
      <c r="B25" s="5">
        <f>'P&amp;L'!I32</f>
        <v>872836.8298124967</v>
      </c>
    </row>
    <row r="26" spans="1:2" x14ac:dyDescent="0.25">
      <c r="A26" t="s">
        <v>211</v>
      </c>
      <c r="B26" s="5">
        <f>B25/cap</f>
        <v>12469097.568749951</v>
      </c>
    </row>
    <row r="27" spans="1:2" x14ac:dyDescent="0.25">
      <c r="A27" t="s">
        <v>27</v>
      </c>
      <c r="B27" s="5">
        <f>-B26*sell_pct</f>
        <v>-249381.95137499901</v>
      </c>
    </row>
    <row r="28" spans="1:2" x14ac:dyDescent="0.25">
      <c r="A28" t="s">
        <v>212</v>
      </c>
      <c r="B28" s="5">
        <f>IF(B$3=0,0,B$3+CUMPRINC(rate/12,term*12,B$3,1,84,0))</f>
        <v>2816369.2413069415</v>
      </c>
    </row>
    <row r="29" spans="1:2" x14ac:dyDescent="0.25">
      <c r="A29" t="s">
        <v>213</v>
      </c>
      <c r="B29" s="5">
        <f>B26+B27-B28</f>
        <v>9403346.37606801</v>
      </c>
    </row>
    <row r="30" spans="1:2" x14ac:dyDescent="0.25">
      <c r="A30" t="s">
        <v>214</v>
      </c>
      <c r="B30" s="5">
        <f>MAX(0,B29-eq_total)</f>
        <v>4471073.149027195</v>
      </c>
    </row>
    <row r="31" spans="1:2" x14ac:dyDescent="0.25">
      <c r="A31" t="s">
        <v>215</v>
      </c>
      <c r="B31" s="5">
        <f>6827838.675815237</f>
        <v>6827838.675815237</v>
      </c>
    </row>
    <row r="32" spans="1:2" x14ac:dyDescent="0.25">
      <c r="A32" t="s">
        <v>216</v>
      </c>
      <c r="B32" s="5">
        <f>2575507.700252774</f>
        <v>2575507.700252774</v>
      </c>
    </row>
    <row r="34" spans="1:9" x14ac:dyDescent="0.25">
      <c r="A34" t="s">
        <v>217</v>
      </c>
      <c r="B34" s="5">
        <f>-eq_lp</f>
        <v>-3945818.5816326533</v>
      </c>
      <c r="C34" s="5">
        <f>C22</f>
        <v>248597.83697612566</v>
      </c>
      <c r="D34" s="5">
        <f>D22</f>
        <v>301541.195019638</v>
      </c>
      <c r="E34" s="5">
        <f>E22</f>
        <v>335927.00507023075</v>
      </c>
      <c r="F34" s="5">
        <f>F22</f>
        <v>347638.25060352514</v>
      </c>
      <c r="G34" s="5">
        <f>G22</f>
        <v>359583.72104748583</v>
      </c>
      <c r="H34" s="5">
        <f>H22</f>
        <v>371768.1009003252</v>
      </c>
      <c r="I34" s="5">
        <f>I22+B31</f>
        <v>7212034.844165458</v>
      </c>
    </row>
    <row r="36" spans="1:2" x14ac:dyDescent="0.25">
      <c r="A36" s="3" t="s">
        <v>31</v>
      </c>
      <c r="B36" s="6">
        <f>IRR(B34:I34)</f>
        <v>0.14844448271900756</v>
      </c>
    </row>
    <row r="37" spans="1:2" x14ac:dyDescent="0.25">
      <c r="A37" s="3" t="s">
        <v>218</v>
      </c>
      <c r="B37" s="5">
        <f>SUM(C22:I22)+B31</f>
        <v>9177090.95378279</v>
      </c>
    </row>
    <row r="38" spans="1:2" x14ac:dyDescent="0.25">
      <c r="A38" s="3" t="s">
        <v>219</v>
      </c>
      <c r="B38" s="7">
        <f>B37/eq_lp</f>
        <v>2.325776201800338</v>
      </c>
    </row>
    <row r="39" spans="1:2" x14ac:dyDescent="0.25">
      <c r="A39" s="3" t="s">
        <v>220</v>
      </c>
      <c r="B39" s="6">
        <f>'P&amp;L'!E32/tpc</f>
        <v>0.08426776958511785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9" width="12" customWidth="1"/>
  </cols>
  <sheetData>
    <row r="1" spans="1:1" x14ac:dyDescent="0.25">
      <c r="A1" s="2" t="s">
        <v>221</v>
      </c>
    </row>
    <row r="3" spans="1:1" x14ac:dyDescent="0.25">
      <c r="A3" s="3" t="s">
        <v>222</v>
      </c>
    </row>
    <row r="4" spans="2:9" x14ac:dyDescent="0.25">
      <c r="B4" s="3" t="s">
        <v>223</v>
      </c>
      <c r="C4" s="3" t="s">
        <v>158</v>
      </c>
      <c r="D4" s="3" t="s">
        <v>159</v>
      </c>
      <c r="E4" s="3" t="s">
        <v>160</v>
      </c>
      <c r="F4" s="3" t="s">
        <v>161</v>
      </c>
      <c r="G4" s="3" t="s">
        <v>162</v>
      </c>
      <c r="H4" s="3" t="s">
        <v>163</v>
      </c>
      <c r="I4" s="3" t="s">
        <v>164</v>
      </c>
    </row>
    <row r="5" spans="1:2" x14ac:dyDescent="0.25">
      <c r="A5" t="s">
        <v>224</v>
      </c>
      <c r="B5" s="5">
        <f>-IF(Assumptions!$B$47&gt;0,tpc,cost_base)</f>
        <v>-9544494.94949495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-213318</v>
      </c>
    </row>
    <row r="8" spans="1:2" x14ac:dyDescent="0.25">
      <c r="A8" t="s">
        <v>225</v>
      </c>
      <c r="B8" s="5">
        <f>Assumptions!$B$47*tpc</f>
        <v>0</v>
      </c>
    </row>
    <row r="9" spans="1:2" x14ac:dyDescent="0.25">
      <c r="A9" t="s">
        <v>226</v>
      </c>
      <c r="B9" s="5">
        <f>(-(B5+B8+B6)-B7)*(1-gp_pct)</f>
        <v>7806250.359595961</v>
      </c>
    </row>
    <row r="10" spans="1:2" x14ac:dyDescent="0.25">
      <c r="A10" t="s">
        <v>227</v>
      </c>
      <c r="B10" s="5">
        <f>(-(B5+B8+B6)-B7)*gp_pct</f>
        <v>1951562.5898989902</v>
      </c>
    </row>
    <row r="11" spans="1:2" x14ac:dyDescent="0.25">
      <c r="A11" s="3" t="s">
        <v>228</v>
      </c>
      <c r="B11" s="5">
        <f>SUM(B5:B10)</f>
        <v>0</v>
      </c>
    </row>
    <row r="13" spans="1:9" x14ac:dyDescent="0.25">
      <c r="A13" t="s">
        <v>193</v>
      </c>
      <c r="C13" s="5">
        <f>'P&amp;L'!C32</f>
        <v>703338.9155948766</v>
      </c>
      <c r="D13" s="5">
        <f>'P&amp;L'!D32</f>
        <v>769518.1131492669</v>
      </c>
      <c r="E13" s="5">
        <f>'P&amp;L'!E32</f>
        <v>812500.375712508</v>
      </c>
      <c r="F13" s="5">
        <f>'P&amp;L'!F32</f>
        <v>827139.4326291259</v>
      </c>
      <c r="G13" s="5">
        <f>'P&amp;L'!G32</f>
        <v>842071.2706840767</v>
      </c>
      <c r="H13" s="5">
        <f>'P&amp;L'!H32</f>
        <v>857301.745500126</v>
      </c>
      <c r="I13" s="5">
        <f>'P&amp;L'!I32</f>
        <v>872836.8298124967</v>
      </c>
    </row>
    <row r="14" spans="1:9" x14ac:dyDescent="0.25">
      <c r="A14" t="s">
        <v>198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</row>
    <row r="15" spans="1:9" x14ac:dyDescent="0.25">
      <c r="A15" t="s">
        <v>199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</row>
    <row r="16" spans="1:9" x14ac:dyDescent="0.25">
      <c r="A16" t="s">
        <v>229</v>
      </c>
      <c r="C16" s="5">
        <f>C13+C14+C15</f>
        <v>703338.9155948766</v>
      </c>
      <c r="D16" s="5">
        <f>D13+D14+D15</f>
        <v>769518.1131492669</v>
      </c>
      <c r="E16" s="5">
        <f>E13+E14+E15</f>
        <v>812500.375712508</v>
      </c>
      <c r="F16" s="5">
        <f>F13+F14+F15</f>
        <v>827139.4326291259</v>
      </c>
      <c r="G16" s="5">
        <f>G13+G14+G15</f>
        <v>842071.2706840767</v>
      </c>
      <c r="H16" s="5">
        <f>H13+H14+H15</f>
        <v>857301.745500126</v>
      </c>
      <c r="I16" s="5">
        <f>I13+I14+I15</f>
        <v>872836.8298124967</v>
      </c>
    </row>
    <row r="17" spans="1:9" x14ac:dyDescent="0.25">
      <c r="A17" t="s">
        <v>230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</row>
    <row r="18" spans="1:9" x14ac:dyDescent="0.25">
      <c r="A18" t="s">
        <v>231</v>
      </c>
      <c r="C18" s="5">
        <f>IF(1=MIN(MAX(1,ROUNDUP(vat_months/12,0)),7),-B7,0)</f>
        <v>213318</v>
      </c>
      <c r="D18" s="5">
        <f>IF(2=MIN(MAX(1,ROUNDUP(vat_months/12,0)),7),-B7,0)</f>
        <v>0</v>
      </c>
      <c r="E18" s="5">
        <f>IF(3=MIN(MAX(1,ROUNDUP(vat_months/12,0)),7),-B7,0)</f>
        <v>0</v>
      </c>
      <c r="F18" s="5">
        <f>IF(4=MIN(MAX(1,ROUNDUP(vat_months/12,0)),7),-B7,0)</f>
        <v>0</v>
      </c>
      <c r="G18" s="5">
        <f>IF(5=MIN(MAX(1,ROUNDUP(vat_months/12,0)),7),-B7,0)</f>
        <v>0</v>
      </c>
      <c r="H18" s="5">
        <f>IF(6=MIN(MAX(1,ROUNDUP(vat_months/12,0)),7),-B7,0)</f>
        <v>0</v>
      </c>
      <c r="I18" s="5">
        <f>IF(7=MIN(MAX(1,ROUNDUP(vat_months/12,0)),7),-B7,0)</f>
        <v>0</v>
      </c>
    </row>
    <row r="19" spans="1:9" x14ac:dyDescent="0.25">
      <c r="A19" t="s">
        <v>232</v>
      </c>
      <c r="C19" s="5">
        <f>C16+C17+C18</f>
        <v>916656.9155948766</v>
      </c>
      <c r="D19" s="5">
        <f>C19+D16+D17+D18</f>
        <v>1686175.0287441434</v>
      </c>
      <c r="E19" s="5">
        <f>D19+E16+E17+E18</f>
        <v>2498675.4044566513</v>
      </c>
      <c r="F19" s="5">
        <f>E19+F16+F17+F18</f>
        <v>3325814.837085777</v>
      </c>
      <c r="G19" s="5">
        <f>F19+G16+G17+G18</f>
        <v>4167886.1077698534</v>
      </c>
      <c r="H19" s="5">
        <f>G19+H16+H17+H18</f>
        <v>5025187.853269979</v>
      </c>
      <c r="I19" s="5">
        <f>H19+I16+I17+I18</f>
        <v>5898024.683082476</v>
      </c>
    </row>
    <row r="20" spans="1:9" x14ac:dyDescent="0.25">
      <c r="A20" t="s">
        <v>233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</row>
    <row r="22" spans="1:9" x14ac:dyDescent="0.25">
      <c r="A22" t="s">
        <v>26</v>
      </c>
      <c r="C22" s="5">
        <f>IF(1=7,'P&amp;L'!I32/cap,0)</f>
        <v>0</v>
      </c>
      <c r="D22" s="5">
        <f>IF(2=7,'P&amp;L'!I32/cap,0)</f>
        <v>0</v>
      </c>
      <c r="E22" s="5">
        <f>IF(3=7,'P&amp;L'!I32/cap,0)</f>
        <v>0</v>
      </c>
      <c r="F22" s="5">
        <f>IF(4=7,'P&amp;L'!I32/cap,0)</f>
        <v>0</v>
      </c>
      <c r="G22" s="5">
        <f>IF(5=7,'P&amp;L'!I32/cap,0)</f>
        <v>0</v>
      </c>
      <c r="H22" s="5">
        <f>IF(6=7,'P&amp;L'!I32/cap,0)</f>
        <v>0</v>
      </c>
      <c r="I22" s="5">
        <f>IF(7=7,'P&amp;L'!I32/cap,0)</f>
        <v>12469097.568749953</v>
      </c>
    </row>
    <row r="23" spans="1:9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-249381.95137500018</v>
      </c>
    </row>
    <row r="24" spans="1:9" x14ac:dyDescent="0.25">
      <c r="A24" t="s">
        <v>28</v>
      </c>
      <c r="C24" s="5">
        <f>IF(1&lt;7,0,IF(B8=0,0,-(B8+CUMPRINC(Assumptions!$B$48/12,Assumptions!$B$49*12,B8,1,84,0))))</f>
        <v>0</v>
      </c>
      <c r="D24" s="5">
        <f>IF(2&lt;7,0,IF(B8=0,0,-(B8+CUMPRINC(Assumptions!$B$48/12,Assumptions!$B$49*12,B8,1,84,0))))</f>
        <v>0</v>
      </c>
      <c r="E24" s="5">
        <f>IF(3&lt;7,0,IF(B8=0,0,-(B8+CUMPRINC(Assumptions!$B$48/12,Assumptions!$B$49*12,B8,1,84,0))))</f>
        <v>0</v>
      </c>
      <c r="F24" s="5">
        <f>IF(4&lt;7,0,IF(B8=0,0,-(B8+CUMPRINC(Assumptions!$B$48/12,Assumptions!$B$49*12,B8,1,84,0))))</f>
        <v>0</v>
      </c>
      <c r="G24" s="5">
        <f>IF(5&lt;7,0,IF(B8=0,0,-(B8+CUMPRINC(Assumptions!$B$48/12,Assumptions!$B$49*12,B8,1,84,0))))</f>
        <v>0</v>
      </c>
      <c r="H24" s="5">
        <f>IF(6&lt;7,0,IF(B8=0,0,-(B8+CUMPRINC(Assumptions!$B$48/12,Assumptions!$B$49*12,B8,1,84,0))))</f>
        <v>0</v>
      </c>
      <c r="I24" s="5">
        <f>IF(7&lt;7,0,IF(B8=0,0,-(B8+CUMPRINC(Assumptions!$B$48/12,Assumptions!$B$49*12,B8,1,84,0))))</f>
        <v>0</v>
      </c>
    </row>
    <row r="25" spans="1:9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12219715.617374953</v>
      </c>
    </row>
    <row r="27" spans="1:9" x14ac:dyDescent="0.25">
      <c r="A27" t="s">
        <v>208</v>
      </c>
      <c r="C27" s="5">
        <f>562671.1324759013</f>
        <v>562671.1324759013</v>
      </c>
      <c r="D27" s="5">
        <f>615614.4905194136</f>
        <v>615614.4905194136</v>
      </c>
      <c r="E27" s="5">
        <f>650000.3005700065</f>
        <v>650000.3005700065</v>
      </c>
      <c r="F27" s="5">
        <f>661711.5461033008</f>
        <v>661711.5461033008</v>
      </c>
      <c r="G27" s="5">
        <f>673657.0165472614</f>
        <v>673657.0165472614</v>
      </c>
      <c r="H27" s="5">
        <f>685841.3964001009</f>
        <v>685841.3964001009</v>
      </c>
      <c r="I27" s="5">
        <f>698269.4638499974</f>
        <v>698269.4638499974</v>
      </c>
    </row>
    <row r="28" spans="1:9" x14ac:dyDescent="0.25">
      <c r="A28" t="s">
        <v>209</v>
      </c>
      <c r="C28" s="5">
        <f>140667.78311897535</f>
        <v>140667.78311897535</v>
      </c>
      <c r="D28" s="5">
        <f>153903.62262985331</f>
        <v>153903.62262985331</v>
      </c>
      <c r="E28" s="5">
        <f>162500.0751425015</f>
        <v>162500.0751425015</v>
      </c>
      <c r="F28" s="5">
        <f>165427.88652582513</f>
        <v>165427.88652582513</v>
      </c>
      <c r="G28" s="5">
        <f>168414.25413681532</f>
        <v>168414.25413681532</v>
      </c>
      <c r="H28" s="5">
        <f>171460.34910002514</f>
        <v>171460.34910002514</v>
      </c>
      <c r="I28" s="5">
        <f>174567.3659624993</f>
        <v>174567.3659624993</v>
      </c>
    </row>
    <row r="29" spans="1:9" x14ac:dyDescent="0.25">
      <c r="A29" t="s">
        <v>234</v>
      </c>
      <c r="C29" s="5">
        <f>IF(1=7,9472054.145938415,0)</f>
        <v>0</v>
      </c>
      <c r="D29" s="5">
        <f>IF(2=7,9472054.145938415,0)</f>
        <v>0</v>
      </c>
      <c r="E29" s="5">
        <f>IF(3=7,9472054.145938415,0)</f>
        <v>0</v>
      </c>
      <c r="F29" s="5">
        <f>IF(4=7,9472054.145938415,0)</f>
        <v>0</v>
      </c>
      <c r="G29" s="5">
        <f>IF(5=7,9472054.145938415,0)</f>
        <v>0</v>
      </c>
      <c r="H29" s="5">
        <f>IF(6=7,9472054.145938415,0)</f>
        <v>0</v>
      </c>
      <c r="I29" s="5">
        <f>IF(7=7,9472054.145938415,0)</f>
        <v>9472054.145938415</v>
      </c>
    </row>
    <row r="30" spans="1:9" x14ac:dyDescent="0.25">
      <c r="A30" t="s">
        <v>235</v>
      </c>
      <c r="C30" s="5">
        <f>IF(1=7,2747661.471436538,0)</f>
        <v>0</v>
      </c>
      <c r="D30" s="5">
        <f>IF(2=7,2747661.471436538,0)</f>
        <v>0</v>
      </c>
      <c r="E30" s="5">
        <f>IF(3=7,2747661.471436538,0)</f>
        <v>0</v>
      </c>
      <c r="F30" s="5">
        <f>IF(4=7,2747661.471436538,0)</f>
        <v>0</v>
      </c>
      <c r="G30" s="5">
        <f>IF(5=7,2747661.471436538,0)</f>
        <v>0</v>
      </c>
      <c r="H30" s="5">
        <f>IF(6=7,2747661.471436538,0)</f>
        <v>0</v>
      </c>
      <c r="I30" s="5">
        <f>IF(7=7,2747661.471436538,0)</f>
        <v>2747661.471436538</v>
      </c>
    </row>
    <row r="31" spans="1:9" x14ac:dyDescent="0.25">
      <c r="A31" t="s">
        <v>236</v>
      </c>
      <c r="C31" s="5">
        <f>(C17+C18)*(1-gp_pct)</f>
        <v>170654.40000000002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</row>
    <row r="32" spans="1:9" x14ac:dyDescent="0.25">
      <c r="A32" t="s">
        <v>237</v>
      </c>
      <c r="C32" s="5">
        <f>(C17+C18)*gp_pct</f>
        <v>42663.59999999999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</row>
    <row r="33" spans="1:9" x14ac:dyDescent="0.25">
      <c r="A33" s="3" t="s">
        <v>238</v>
      </c>
      <c r="C33" s="5">
        <f>SUM(C27:C32)</f>
        <v>916656.9155948766</v>
      </c>
      <c r="D33" s="5">
        <f>SUM(D27:D32)</f>
        <v>769518.1131492669</v>
      </c>
      <c r="E33" s="5">
        <f>SUM(E27:E32)</f>
        <v>812500.375712508</v>
      </c>
      <c r="F33" s="5">
        <f>SUM(F27:F32)</f>
        <v>827139.4326291259</v>
      </c>
      <c r="G33" s="5">
        <f>SUM(G27:G32)</f>
        <v>842071.2706840767</v>
      </c>
      <c r="H33" s="5">
        <f>SUM(H27:H32)</f>
        <v>857301.745500126</v>
      </c>
      <c r="I33" s="5">
        <f>SUM(I27:I32)</f>
        <v>13092552.44718745</v>
      </c>
    </row>
    <row r="35" spans="1:9" x14ac:dyDescent="0.25">
      <c r="A35" t="s">
        <v>239</v>
      </c>
      <c r="C35" s="5">
        <f>C16+C17+C18+C25</f>
        <v>916656.9155948766</v>
      </c>
      <c r="D35" s="5">
        <f>D16+D17+D18+D25</f>
        <v>769518.1131492669</v>
      </c>
      <c r="E35" s="5">
        <f>E16+E17+E18+E25</f>
        <v>812500.375712508</v>
      </c>
      <c r="F35" s="5">
        <f>F16+F17+F18+F25</f>
        <v>827139.4326291259</v>
      </c>
      <c r="G35" s="5">
        <f>G16+G17+G18+G25</f>
        <v>842071.2706840767</v>
      </c>
      <c r="H35" s="5">
        <f>H16+H17+H18+H25</f>
        <v>857301.745500126</v>
      </c>
      <c r="I35" s="5">
        <f>I16+I17+I18+I25</f>
        <v>13092552.44718745</v>
      </c>
    </row>
    <row r="36" spans="1:9" x14ac:dyDescent="0.25">
      <c r="A36" t="s">
        <v>240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</row>
    <row r="38" spans="1:9" x14ac:dyDescent="0.25">
      <c r="A38" t="s">
        <v>241</v>
      </c>
      <c r="B38" s="5">
        <f>-B9</f>
        <v>-7806250.359595961</v>
      </c>
      <c r="C38" s="5">
        <f>C27+C29+C31</f>
        <v>733325.5324759013</v>
      </c>
      <c r="D38" s="5">
        <f>D27+D29+D31</f>
        <v>615614.4905194136</v>
      </c>
      <c r="E38" s="5">
        <f>E27+E29+E31</f>
        <v>650000.3005700065</v>
      </c>
      <c r="F38" s="5">
        <f>F27+F29+F31</f>
        <v>661711.5461033008</v>
      </c>
      <c r="G38" s="5">
        <f>G27+G29+G31</f>
        <v>673657.0165472614</v>
      </c>
      <c r="H38" s="5">
        <f>H27+H29+H31</f>
        <v>685841.3964001009</v>
      </c>
      <c r="I38" s="5">
        <f>I27+I29+I31</f>
        <v>10170323.609788412</v>
      </c>
    </row>
    <row r="39" spans="1:9" x14ac:dyDescent="0.25">
      <c r="A39" t="s">
        <v>242</v>
      </c>
      <c r="B39" s="5">
        <f>B38</f>
        <v>-7806250.359595961</v>
      </c>
      <c r="C39" s="5">
        <f>B39+C38</f>
        <v>-7072924.82712006</v>
      </c>
      <c r="D39" s="5">
        <f>C39+D38</f>
        <v>-6457310.336600646</v>
      </c>
      <c r="E39" s="5">
        <f>D39+E38</f>
        <v>-5807310.03603064</v>
      </c>
      <c r="F39" s="5">
        <f>E39+F38</f>
        <v>-5145598.489927339</v>
      </c>
      <c r="G39" s="5">
        <f>F39+G38</f>
        <v>-4471941.473380078</v>
      </c>
      <c r="H39" s="5">
        <f>G39+H38</f>
        <v>-3786100.0769799766</v>
      </c>
      <c r="I39" s="5">
        <f>H39+I38</f>
        <v>6384223.532808436</v>
      </c>
    </row>
    <row r="42" spans="1:1" x14ac:dyDescent="0.25">
      <c r="A42" s="3" t="s">
        <v>243</v>
      </c>
    </row>
    <row r="43" spans="2:9" x14ac:dyDescent="0.25">
      <c r="B43" s="3" t="s">
        <v>223</v>
      </c>
      <c r="C43" s="3" t="s">
        <v>158</v>
      </c>
      <c r="D43" s="3" t="s">
        <v>159</v>
      </c>
      <c r="E43" s="3" t="s">
        <v>160</v>
      </c>
      <c r="F43" s="3" t="s">
        <v>161</v>
      </c>
      <c r="G43" s="3" t="s">
        <v>162</v>
      </c>
      <c r="H43" s="3" t="s">
        <v>163</v>
      </c>
      <c r="I43" s="3" t="s">
        <v>164</v>
      </c>
    </row>
    <row r="44" spans="1:2" x14ac:dyDescent="0.25">
      <c r="A44" t="s">
        <v>224</v>
      </c>
      <c r="B44" s="5">
        <f>-IF(Assumptions!$C$47&gt;0,tpc,cost_base)</f>
        <v>-9641887.75510204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-111329.3494897959</v>
      </c>
    </row>
    <row r="46" spans="1:2" x14ac:dyDescent="0.25">
      <c r="A46" t="s">
        <v>17</v>
      </c>
      <c r="B46" s="5">
        <f>-vat_float</f>
        <v>-213318</v>
      </c>
    </row>
    <row r="47" spans="1:2" x14ac:dyDescent="0.25">
      <c r="A47" t="s">
        <v>225</v>
      </c>
      <c r="B47" s="5">
        <f>Assumptions!$C$47*tpc</f>
        <v>4820943.87755102</v>
      </c>
    </row>
    <row r="48" spans="1:2" x14ac:dyDescent="0.25">
      <c r="A48" t="s">
        <v>226</v>
      </c>
      <c r="B48" s="5">
        <f>(-(B44+B47+B45)-B46)*(1-gp_pct)</f>
        <v>4116472.981632653</v>
      </c>
    </row>
    <row r="49" spans="1:2" x14ac:dyDescent="0.25">
      <c r="A49" t="s">
        <v>227</v>
      </c>
      <c r="B49" s="5">
        <f>(-(B44+B47+B45)-B46)*gp_pct</f>
        <v>1029118.2454081633</v>
      </c>
    </row>
    <row r="50" spans="1:2" x14ac:dyDescent="0.25">
      <c r="A50" s="3" t="s">
        <v>228</v>
      </c>
      <c r="B50" s="5">
        <f>SUM(B44:B49)</f>
        <v>0</v>
      </c>
    </row>
    <row r="52" spans="1:9" x14ac:dyDescent="0.25">
      <c r="A52" t="s">
        <v>193</v>
      </c>
      <c r="C52" s="5">
        <f>'P&amp;L'!C32</f>
        <v>703338.9155948766</v>
      </c>
      <c r="D52" s="5">
        <f>'P&amp;L'!D32</f>
        <v>769518.1131492669</v>
      </c>
      <c r="E52" s="5">
        <f>'P&amp;L'!E32</f>
        <v>812500.375712508</v>
      </c>
      <c r="F52" s="5">
        <f>'P&amp;L'!F32</f>
        <v>827139.4326291259</v>
      </c>
      <c r="G52" s="5">
        <f>'P&amp;L'!G32</f>
        <v>842071.2706840767</v>
      </c>
      <c r="H52" s="5">
        <f>'P&amp;L'!H32</f>
        <v>857301.745500126</v>
      </c>
      <c r="I52" s="5">
        <f>'P&amp;L'!I32</f>
        <v>872836.8298124967</v>
      </c>
    </row>
    <row r="53" spans="1:9" x14ac:dyDescent="0.25">
      <c r="A53" t="s">
        <v>198</v>
      </c>
      <c r="C53" s="5">
        <f>IF(B47=0,0,CUMIPMT(Assumptions!$C$48/12,Assumptions!$C$49*12,B47,1,12,0))</f>
        <v>-129273.5115398236</v>
      </c>
      <c r="D53" s="5">
        <f>IF(B47=0,0,CUMIPMT(Assumptions!$C$48/12,Assumptions!$C$49*12,B47,13,24,0))</f>
        <v>-121940.29286937909</v>
      </c>
      <c r="E53" s="5">
        <f>IF(B47=0,0,CUMIPMT(Assumptions!$C$48/12,Assumptions!$C$49*12,B47,25,36,0))</f>
        <v>-114402.84936794704</v>
      </c>
      <c r="F53" s="5">
        <f>IF(B47=0,0,CUMIPMT(Assumptions!$C$48/12,Assumptions!$C$49*12,B47,37,48,0))</f>
        <v>-106655.49352183573</v>
      </c>
      <c r="G53" s="5">
        <f>IF(B47=0,0,CUMIPMT(Assumptions!$C$48/12,Assumptions!$C$49*12,B47,49,60,0))</f>
        <v>-98692.37942421473</v>
      </c>
      <c r="H53" s="5">
        <f>IF(B47=0,0,CUMIPMT(Assumptions!$C$48/12,Assumptions!$C$49*12,B47,61,72,0))</f>
        <v>-90507.49836398076</v>
      </c>
      <c r="I53" s="5">
        <f>IF(B47=0,0,CUMIPMT(Assumptions!$C$48/12,Assumptions!$C$49*12,B47,73,84,0))</f>
        <v>-82094.6742917762</v>
      </c>
    </row>
    <row r="54" spans="1:9" x14ac:dyDescent="0.25">
      <c r="A54" t="s">
        <v>199</v>
      </c>
      <c r="C54" s="5">
        <f>IF(B47=0,0,CUMPRINC(Assumptions!$C$48/12,Assumptions!$C$49*12,B47,1,12,0))</f>
        <v>-263318.10783489596</v>
      </c>
      <c r="D54" s="5">
        <f>IF(B47=0,0,CUMPRINC(Assumptions!$C$48/12,Assumptions!$C$49*12,B47,13,24,0))</f>
        <v>-270651.3265053404</v>
      </c>
      <c r="E54" s="5">
        <f>IF(B47=0,0,CUMPRINC(Assumptions!$C$48/12,Assumptions!$C$49*12,B47,25,36,0))</f>
        <v>-278188.7700067725</v>
      </c>
      <c r="F54" s="5">
        <f>IF(B47=0,0,CUMPRINC(Assumptions!$C$48/12,Assumptions!$C$49*12,B47,37,48,0))</f>
        <v>-285936.12585288374</v>
      </c>
      <c r="G54" s="5">
        <f>IF(B47=0,0,CUMPRINC(Assumptions!$C$48/12,Assumptions!$C$49*12,B47,49,60,0))</f>
        <v>-293899.23995050474</v>
      </c>
      <c r="H54" s="5">
        <f>IF(B47=0,0,CUMPRINC(Assumptions!$C$48/12,Assumptions!$C$49*12,B47,61,72,0))</f>
        <v>-302084.1210107388</v>
      </c>
      <c r="I54" s="5">
        <f>IF(B47=0,0,CUMPRINC(Assumptions!$C$48/12,Assumptions!$C$49*12,B47,73,84,0))</f>
        <v>-310496.94508294325</v>
      </c>
    </row>
    <row r="55" spans="1:9" x14ac:dyDescent="0.25">
      <c r="A55" t="s">
        <v>229</v>
      </c>
      <c r="C55" s="5">
        <f>C52+C53+C54</f>
        <v>310747.29622015706</v>
      </c>
      <c r="D55" s="5">
        <f>D52+D53+D54</f>
        <v>376926.4937745475</v>
      </c>
      <c r="E55" s="5">
        <f>E52+E53+E54</f>
        <v>419908.7563377884</v>
      </c>
      <c r="F55" s="5">
        <f>F52+F53+F54</f>
        <v>434547.8132544064</v>
      </c>
      <c r="G55" s="5">
        <f>G52+G53+G54</f>
        <v>449479.65130935726</v>
      </c>
      <c r="H55" s="5">
        <f>H52+H53+H54</f>
        <v>464710.1261254065</v>
      </c>
      <c r="I55" s="5">
        <f>I52+I53+I54</f>
        <v>480245.21043777716</v>
      </c>
    </row>
    <row r="56" spans="1:9" x14ac:dyDescent="0.25">
      <c r="A56" t="s">
        <v>230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</row>
    <row r="57" spans="1:9" x14ac:dyDescent="0.25">
      <c r="A57" t="s">
        <v>231</v>
      </c>
      <c r="C57" s="5">
        <f>IF(1=MIN(MAX(1,ROUNDUP(vat_months/12,0)),7),-B46,0)</f>
        <v>213318</v>
      </c>
      <c r="D57" s="5">
        <f>IF(2=MIN(MAX(1,ROUNDUP(vat_months/12,0)),7),-B46,0)</f>
        <v>0</v>
      </c>
      <c r="E57" s="5">
        <f>IF(3=MIN(MAX(1,ROUNDUP(vat_months/12,0)),7),-B46,0)</f>
        <v>0</v>
      </c>
      <c r="F57" s="5">
        <f>IF(4=MIN(MAX(1,ROUNDUP(vat_months/12,0)),7),-B46,0)</f>
        <v>0</v>
      </c>
      <c r="G57" s="5">
        <f>IF(5=MIN(MAX(1,ROUNDUP(vat_months/12,0)),7),-B46,0)</f>
        <v>0</v>
      </c>
      <c r="H57" s="5">
        <f>IF(6=MIN(MAX(1,ROUNDUP(vat_months/12,0)),7),-B46,0)</f>
        <v>0</v>
      </c>
      <c r="I57" s="5">
        <f>IF(7=MIN(MAX(1,ROUNDUP(vat_months/12,0)),7),-B46,0)</f>
        <v>0</v>
      </c>
    </row>
    <row r="58" spans="1:9" x14ac:dyDescent="0.25">
      <c r="A58" t="s">
        <v>232</v>
      </c>
      <c r="C58" s="5">
        <f>C55+C56+C57</f>
        <v>524065.29622015706</v>
      </c>
      <c r="D58" s="5">
        <f>C58+D55+D56+D57</f>
        <v>900991.7899947045</v>
      </c>
      <c r="E58" s="5">
        <f>D58+E55+E56+E57</f>
        <v>1320900.546332493</v>
      </c>
      <c r="F58" s="5">
        <f>E58+F55+F56+F57</f>
        <v>1755448.3595868994</v>
      </c>
      <c r="G58" s="5">
        <f>F58+G55+G56+G57</f>
        <v>2204928.0108962567</v>
      </c>
      <c r="H58" s="5">
        <f>G58+H55+H56+H57</f>
        <v>2669638.137021663</v>
      </c>
      <c r="I58" s="5">
        <f>H58+I55+I56+I57</f>
        <v>3149883.34745944</v>
      </c>
    </row>
    <row r="59" spans="1:9" x14ac:dyDescent="0.25">
      <c r="A59" t="s">
        <v>233</v>
      </c>
      <c r="C59" s="7">
        <f>IF((C53+C54)=0,0,-C52/(C53+C54))</f>
        <v>1.7915280940410396</v>
      </c>
      <c r="D59" s="7">
        <f>IF((D53+D54)=0,0,-D52/(D53+D54))</f>
        <v>1.960098166065995</v>
      </c>
      <c r="E59" s="7">
        <f>IF((E53+E54)=0,0,-E52/(E53+E54))</f>
        <v>2.069581559093332</v>
      </c>
      <c r="F59" s="7">
        <f>IF((F53+F54)=0,0,-F52/(F53+F54))</f>
        <v>2.1068698153733147</v>
      </c>
      <c r="G59" s="7">
        <f>IF((G53+G54)=0,0,-G52/(G53+G54))</f>
        <v>2.1449038367788984</v>
      </c>
      <c r="H59" s="7">
        <f>IF((H53+H54)=0,0,-H52/(H53+H54))</f>
        <v>2.183698538612592</v>
      </c>
      <c r="I59" s="7">
        <f>IF((I53+I54)=0,0,-I52/(I53+I54))</f>
        <v>2.2232691344829614</v>
      </c>
    </row>
    <row r="61" spans="1:9" x14ac:dyDescent="0.25">
      <c r="A61" t="s">
        <v>26</v>
      </c>
      <c r="C61" s="5">
        <f>IF(1=7,'P&amp;L'!I32/cap,0)</f>
        <v>0</v>
      </c>
      <c r="D61" s="5">
        <f>IF(2=7,'P&amp;L'!I32/cap,0)</f>
        <v>0</v>
      </c>
      <c r="E61" s="5">
        <f>IF(3=7,'P&amp;L'!I32/cap,0)</f>
        <v>0</v>
      </c>
      <c r="F61" s="5">
        <f>IF(4=7,'P&amp;L'!I32/cap,0)</f>
        <v>0</v>
      </c>
      <c r="G61" s="5">
        <f>IF(5=7,'P&amp;L'!I32/cap,0)</f>
        <v>0</v>
      </c>
      <c r="H61" s="5">
        <f>IF(6=7,'P&amp;L'!I32/cap,0)</f>
        <v>0</v>
      </c>
      <c r="I61" s="5">
        <f>IF(7=7,'P&amp;L'!I32/cap,0)</f>
        <v>12469097.568749953</v>
      </c>
    </row>
    <row r="62" spans="1:9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-249381.95137500018</v>
      </c>
    </row>
    <row r="63" spans="1:9" x14ac:dyDescent="0.25">
      <c r="A63" t="s">
        <v>28</v>
      </c>
      <c r="C63" s="5">
        <f>IF(1&lt;7,0,IF(B47=0,0,-(B47+CUMPRINC(Assumptions!$C$48/12,Assumptions!$C$49*12,B47,1,84,0))))</f>
        <v>0</v>
      </c>
      <c r="D63" s="5">
        <f>IF(2&lt;7,0,IF(B47=0,0,-(B47+CUMPRINC(Assumptions!$C$48/12,Assumptions!$C$49*12,B47,1,84,0))))</f>
        <v>0</v>
      </c>
      <c r="E63" s="5">
        <f>IF(3&lt;7,0,IF(B47=0,0,-(B47+CUMPRINC(Assumptions!$C$48/12,Assumptions!$C$49*12,B47,1,84,0))))</f>
        <v>0</v>
      </c>
      <c r="F63" s="5">
        <f>IF(4&lt;7,0,IF(B47=0,0,-(B47+CUMPRINC(Assumptions!$C$48/12,Assumptions!$C$49*12,B47,1,84,0))))</f>
        <v>0</v>
      </c>
      <c r="G63" s="5">
        <f>IF(5&lt;7,0,IF(B47=0,0,-(B47+CUMPRINC(Assumptions!$C$48/12,Assumptions!$C$49*12,B47,1,84,0))))</f>
        <v>0</v>
      </c>
      <c r="H63" s="5">
        <f>IF(6&lt;7,0,IF(B47=0,0,-(B47+CUMPRINC(Assumptions!$C$48/12,Assumptions!$C$49*12,B47,1,84,0))))</f>
        <v>0</v>
      </c>
      <c r="I63" s="5">
        <f>IF(7&lt;7,0,IF(B47=0,0,-(B47+CUMPRINC(Assumptions!$C$48/12,Assumptions!$C$49*12,B47,1,84,0))))</f>
        <v>-2816369.2413069415</v>
      </c>
    </row>
    <row r="64" spans="1:9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9403346.37606801</v>
      </c>
    </row>
    <row r="66" spans="1:9" x14ac:dyDescent="0.25">
      <c r="A66" t="s">
        <v>208</v>
      </c>
      <c r="C66" s="5">
        <f>248597.83697612566</f>
        <v>248597.83697612566</v>
      </c>
      <c r="D66" s="5">
        <f>301541.195019638</f>
        <v>301541.195019638</v>
      </c>
      <c r="E66" s="5">
        <f>335927.00507023075</f>
        <v>335927.00507023075</v>
      </c>
      <c r="F66" s="5">
        <f>347638.25060352514</f>
        <v>347638.25060352514</v>
      </c>
      <c r="G66" s="5">
        <f>359583.72104748583</f>
        <v>359583.72104748583</v>
      </c>
      <c r="H66" s="5">
        <f>371768.1009003252</f>
        <v>371768.1009003252</v>
      </c>
      <c r="I66" s="5">
        <f>384196.16835022176</f>
        <v>384196.16835022176</v>
      </c>
    </row>
    <row r="67" spans="1:9" x14ac:dyDescent="0.25">
      <c r="A67" t="s">
        <v>209</v>
      </c>
      <c r="C67" s="5">
        <f>62149.4592440314</f>
        <v>62149.4592440314</v>
      </c>
      <c r="D67" s="5">
        <f>75385.29875490948</f>
        <v>75385.29875490948</v>
      </c>
      <c r="E67" s="5">
        <f>83981.75126755767</f>
        <v>83981.75126755767</v>
      </c>
      <c r="F67" s="5">
        <f>86909.56265088124</f>
        <v>86909.56265088124</v>
      </c>
      <c r="G67" s="5">
        <f>89895.93026187143</f>
        <v>89895.93026187143</v>
      </c>
      <c r="H67" s="5">
        <f>92942.02522508125</f>
        <v>92942.02522508125</v>
      </c>
      <c r="I67" s="5">
        <f>96049.0420875554</f>
        <v>96049.0420875554</v>
      </c>
    </row>
    <row r="68" spans="1:9" x14ac:dyDescent="0.25">
      <c r="A68" t="s">
        <v>234</v>
      </c>
      <c r="C68" s="5">
        <f>IF(1=7,6827838.675815237,0)</f>
        <v>0</v>
      </c>
      <c r="D68" s="5">
        <f>IF(2=7,6827838.675815237,0)</f>
        <v>0</v>
      </c>
      <c r="E68" s="5">
        <f>IF(3=7,6827838.675815237,0)</f>
        <v>0</v>
      </c>
      <c r="F68" s="5">
        <f>IF(4=7,6827838.675815237,0)</f>
        <v>0</v>
      </c>
      <c r="G68" s="5">
        <f>IF(5=7,6827838.675815237,0)</f>
        <v>0</v>
      </c>
      <c r="H68" s="5">
        <f>IF(6=7,6827838.675815237,0)</f>
        <v>0</v>
      </c>
      <c r="I68" s="5">
        <f>IF(7=7,6827838.675815237,0)</f>
        <v>6827838.675815237</v>
      </c>
    </row>
    <row r="69" spans="1:9" x14ac:dyDescent="0.25">
      <c r="A69" t="s">
        <v>235</v>
      </c>
      <c r="C69" s="5">
        <f>IF(1=7,2575507.700252774,0)</f>
        <v>0</v>
      </c>
      <c r="D69" s="5">
        <f>IF(2=7,2575507.700252774,0)</f>
        <v>0</v>
      </c>
      <c r="E69" s="5">
        <f>IF(3=7,2575507.700252774,0)</f>
        <v>0</v>
      </c>
      <c r="F69" s="5">
        <f>IF(4=7,2575507.700252774,0)</f>
        <v>0</v>
      </c>
      <c r="G69" s="5">
        <f>IF(5=7,2575507.700252774,0)</f>
        <v>0</v>
      </c>
      <c r="H69" s="5">
        <f>IF(6=7,2575507.700252774,0)</f>
        <v>0</v>
      </c>
      <c r="I69" s="5">
        <f>IF(7=7,2575507.700252774,0)</f>
        <v>2575507.700252774</v>
      </c>
    </row>
    <row r="70" spans="1:9" x14ac:dyDescent="0.25">
      <c r="A70" t="s">
        <v>236</v>
      </c>
      <c r="C70" s="5">
        <f>(C56+C57)*(1-gp_pct)</f>
        <v>170654.40000000002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</row>
    <row r="71" spans="1:9" x14ac:dyDescent="0.25">
      <c r="A71" t="s">
        <v>237</v>
      </c>
      <c r="C71" s="5">
        <f>(C56+C57)*gp_pct</f>
        <v>42663.59999999999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</row>
    <row r="72" spans="1:9" x14ac:dyDescent="0.25">
      <c r="A72" s="3" t="s">
        <v>238</v>
      </c>
      <c r="C72" s="5">
        <f>SUM(C66:C71)</f>
        <v>524065.29622015706</v>
      </c>
      <c r="D72" s="5">
        <f>SUM(D66:D71)</f>
        <v>376926.4937745475</v>
      </c>
      <c r="E72" s="5">
        <f>SUM(E66:E71)</f>
        <v>419908.7563377884</v>
      </c>
      <c r="F72" s="5">
        <f>SUM(F66:F71)</f>
        <v>434547.8132544064</v>
      </c>
      <c r="G72" s="5">
        <f>SUM(G66:G71)</f>
        <v>449479.65130935726</v>
      </c>
      <c r="H72" s="5">
        <f>SUM(H66:H71)</f>
        <v>464710.1261254065</v>
      </c>
      <c r="I72" s="5">
        <f>SUM(I66:I71)</f>
        <v>9883591.586505787</v>
      </c>
    </row>
    <row r="74" spans="1:9" x14ac:dyDescent="0.25">
      <c r="A74" t="s">
        <v>239</v>
      </c>
      <c r="C74" s="5">
        <f>C55+C56+C57+C64</f>
        <v>524065.29622015706</v>
      </c>
      <c r="D74" s="5">
        <f>D55+D56+D57+D64</f>
        <v>376926.4937745475</v>
      </c>
      <c r="E74" s="5">
        <f>E55+E56+E57+E64</f>
        <v>419908.7563377884</v>
      </c>
      <c r="F74" s="5">
        <f>F55+F56+F57+F64</f>
        <v>434547.8132544064</v>
      </c>
      <c r="G74" s="5">
        <f>G55+G56+G57+G64</f>
        <v>449479.65130935726</v>
      </c>
      <c r="H74" s="5">
        <f>H55+H56+H57+H64</f>
        <v>464710.1261254065</v>
      </c>
      <c r="I74" s="5">
        <f>I55+I56+I57+I64</f>
        <v>9883591.586505787</v>
      </c>
    </row>
    <row r="75" spans="1:9" x14ac:dyDescent="0.25">
      <c r="A75" t="s">
        <v>240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</row>
    <row r="77" spans="1:9" x14ac:dyDescent="0.25">
      <c r="A77" t="s">
        <v>241</v>
      </c>
      <c r="B77" s="5">
        <f>-B48</f>
        <v>-4116472.981632653</v>
      </c>
      <c r="C77" s="5">
        <f>C66+C68+C70</f>
        <v>419252.2369761257</v>
      </c>
      <c r="D77" s="5">
        <f>D66+D68+D70</f>
        <v>301541.195019638</v>
      </c>
      <c r="E77" s="5">
        <f>E66+E68+E70</f>
        <v>335927.00507023075</v>
      </c>
      <c r="F77" s="5">
        <f>F66+F68+F70</f>
        <v>347638.25060352514</v>
      </c>
      <c r="G77" s="5">
        <f>G66+G68+G70</f>
        <v>359583.72104748583</v>
      </c>
      <c r="H77" s="5">
        <f>H66+H68+H70</f>
        <v>371768.1009003252</v>
      </c>
      <c r="I77" s="5">
        <f>I66+I68+I70</f>
        <v>7212034.844165458</v>
      </c>
    </row>
    <row r="78" spans="1:9" x14ac:dyDescent="0.25">
      <c r="A78" t="s">
        <v>242</v>
      </c>
      <c r="B78" s="5">
        <f>B77</f>
        <v>-4116472.981632653</v>
      </c>
      <c r="C78" s="5">
        <f>B78+C77</f>
        <v>-3697220.7446565274</v>
      </c>
      <c r="D78" s="5">
        <f>C78+D77</f>
        <v>-3395679.5496368892</v>
      </c>
      <c r="E78" s="5">
        <f>D78+E77</f>
        <v>-3059752.5445666583</v>
      </c>
      <c r="F78" s="5">
        <f>E78+F77</f>
        <v>-2712114.2939631334</v>
      </c>
      <c r="G78" s="5">
        <f>F78+G77</f>
        <v>-2352530.5729156476</v>
      </c>
      <c r="H78" s="5">
        <f>G78+H77</f>
        <v>-1980762.4720153224</v>
      </c>
      <c r="I78" s="5">
        <f>H78+I77</f>
        <v>5231272.372150136</v>
      </c>
    </row>
    <row r="81" spans="1:1" x14ac:dyDescent="0.25">
      <c r="A81" s="3" t="s">
        <v>244</v>
      </c>
    </row>
    <row r="82" spans="2:9" x14ac:dyDescent="0.25">
      <c r="B82" s="3" t="s">
        <v>223</v>
      </c>
      <c r="C82" s="3" t="s">
        <v>158</v>
      </c>
      <c r="D82" s="3" t="s">
        <v>159</v>
      </c>
      <c r="E82" s="3" t="s">
        <v>160</v>
      </c>
      <c r="F82" s="3" t="s">
        <v>161</v>
      </c>
      <c r="G82" s="3" t="s">
        <v>162</v>
      </c>
      <c r="H82" s="3" t="s">
        <v>163</v>
      </c>
      <c r="I82" s="3" t="s">
        <v>164</v>
      </c>
    </row>
    <row r="83" spans="1:2" x14ac:dyDescent="0.25">
      <c r="A83" t="s">
        <v>224</v>
      </c>
      <c r="B83" s="5">
        <f>-IF(Assumptions!$D$47&gt;0,tpc,cost_base)</f>
        <v>-9641887.755102038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-140978.1543367347</v>
      </c>
    </row>
    <row r="85" spans="1:2" x14ac:dyDescent="0.25">
      <c r="A85" t="s">
        <v>17</v>
      </c>
      <c r="B85" s="5">
        <f>-vat_float</f>
        <v>-213318</v>
      </c>
    </row>
    <row r="86" spans="1:2" x14ac:dyDescent="0.25">
      <c r="A86" t="s">
        <v>225</v>
      </c>
      <c r="B86" s="5">
        <f>Assumptions!$D$47*tpc</f>
        <v>6267227.040816327</v>
      </c>
    </row>
    <row r="87" spans="1:2" x14ac:dyDescent="0.25">
      <c r="A87" t="s">
        <v>226</v>
      </c>
      <c r="B87" s="5">
        <f>(-(B83+B86+B84)-B85)*(1-gp_pct)</f>
        <v>2983165.494897959</v>
      </c>
    </row>
    <row r="88" spans="1:2" x14ac:dyDescent="0.25">
      <c r="A88" t="s">
        <v>227</v>
      </c>
      <c r="B88" s="5">
        <f>(-(B83+B86+B84)-B85)*gp_pct</f>
        <v>745791.3737244897</v>
      </c>
    </row>
    <row r="89" spans="1:2" x14ac:dyDescent="0.25">
      <c r="A89" s="3" t="s">
        <v>228</v>
      </c>
      <c r="B89" s="5">
        <f>SUM(B83:B88)</f>
        <v>0</v>
      </c>
    </row>
    <row r="91" spans="1:9" x14ac:dyDescent="0.25">
      <c r="A91" t="s">
        <v>193</v>
      </c>
      <c r="C91" s="5">
        <f>'P&amp;L'!C32</f>
        <v>703338.9155948766</v>
      </c>
      <c r="D91" s="5">
        <f>'P&amp;L'!D32</f>
        <v>769518.1131492669</v>
      </c>
      <c r="E91" s="5">
        <f>'P&amp;L'!E32</f>
        <v>812500.375712508</v>
      </c>
      <c r="F91" s="5">
        <f>'P&amp;L'!F32</f>
        <v>827139.4326291259</v>
      </c>
      <c r="G91" s="5">
        <f>'P&amp;L'!G32</f>
        <v>842071.2706840767</v>
      </c>
      <c r="H91" s="5">
        <f>'P&amp;L'!H32</f>
        <v>857301.745500126</v>
      </c>
      <c r="I91" s="5">
        <f>'P&amp;L'!I32</f>
        <v>872836.8298124967</v>
      </c>
    </row>
    <row r="92" spans="1:9" x14ac:dyDescent="0.25">
      <c r="A92" t="s">
        <v>198</v>
      </c>
      <c r="C92" s="5">
        <f>IF(B86=0,0,CUMIPMT(Assumptions!$D$48/12,Assumptions!$D$49*12,B86,1,12,0))</f>
        <v>-168055.56500177068</v>
      </c>
      <c r="D92" s="5">
        <f>IF(B86=0,0,CUMIPMT(Assumptions!$D$48/12,Assumptions!$D$49*12,B86,13,24,0))</f>
        <v>-158522.38073019285</v>
      </c>
      <c r="E92" s="5">
        <f>IF(B86=0,0,CUMIPMT(Assumptions!$D$48/12,Assumptions!$D$49*12,B86,25,36,0))</f>
        <v>-148723.70417833113</v>
      </c>
      <c r="F92" s="5">
        <f>IF(B86=0,0,CUMIPMT(Assumptions!$D$48/12,Assumptions!$D$49*12,B86,37,48,0))</f>
        <v>-138652.14157838642</v>
      </c>
      <c r="G92" s="5">
        <f>IF(B86=0,0,CUMIPMT(Assumptions!$D$48/12,Assumptions!$D$49*12,B86,49,60,0))</f>
        <v>-128300.0932514792</v>
      </c>
      <c r="H92" s="5">
        <f>IF(B86=0,0,CUMIPMT(Assumptions!$D$48/12,Assumptions!$D$49*12,B86,61,72,0))</f>
        <v>-117659.74787317499</v>
      </c>
      <c r="I92" s="5">
        <f>IF(B86=0,0,CUMIPMT(Assumptions!$D$48/12,Assumptions!$D$49*12,B86,73,84,0))</f>
        <v>-106723.07657930908</v>
      </c>
    </row>
    <row r="93" spans="1:9" x14ac:dyDescent="0.25">
      <c r="A93" t="s">
        <v>199</v>
      </c>
      <c r="C93" s="5">
        <f>IF(B86=0,0,CUMPRINC(Assumptions!$D$48/12,Assumptions!$D$49*12,B86,1,12,0))</f>
        <v>-342313.5401853647</v>
      </c>
      <c r="D93" s="5">
        <f>IF(B86=0,0,CUMPRINC(Assumptions!$D$48/12,Assumptions!$D$49*12,B86,13,24,0))</f>
        <v>-351846.7244569426</v>
      </c>
      <c r="E93" s="5">
        <f>IF(B86=0,0,CUMPRINC(Assumptions!$D$48/12,Assumptions!$D$49*12,B86,25,36,0))</f>
        <v>-361645.40100880415</v>
      </c>
      <c r="F93" s="5">
        <f>IF(B86=0,0,CUMPRINC(Assumptions!$D$48/12,Assumptions!$D$49*12,B86,37,48,0))</f>
        <v>-371716.96360874904</v>
      </c>
      <c r="G93" s="5">
        <f>IF(B86=0,0,CUMPRINC(Assumptions!$D$48/12,Assumptions!$D$49*12,B86,49,60,0))</f>
        <v>-382069.0119356562</v>
      </c>
      <c r="H93" s="5">
        <f>IF(B86=0,0,CUMPRINC(Assumptions!$D$48/12,Assumptions!$D$49*12,B86,61,72,0))</f>
        <v>-392709.3573139603</v>
      </c>
      <c r="I93" s="5">
        <f>IF(B86=0,0,CUMPRINC(Assumptions!$D$48/12,Assumptions!$D$49*12,B86,73,84,0))</f>
        <v>-403646.0286078263</v>
      </c>
    </row>
    <row r="94" spans="1:9" x14ac:dyDescent="0.25">
      <c r="A94" t="s">
        <v>229</v>
      </c>
      <c r="C94" s="5">
        <f>C91+C92+C93</f>
        <v>192969.81040774117</v>
      </c>
      <c r="D94" s="5">
        <f>D91+D92+D93</f>
        <v>259149.00796213147</v>
      </c>
      <c r="E94" s="5">
        <f>E91+E92+E93</f>
        <v>302131.27052537276</v>
      </c>
      <c r="F94" s="5">
        <f>F91+F92+F93</f>
        <v>316770.32744199043</v>
      </c>
      <c r="G94" s="5">
        <f>G91+G92+G93</f>
        <v>331702.1654969413</v>
      </c>
      <c r="H94" s="5">
        <f>H91+H92+H93</f>
        <v>346932.64031299076</v>
      </c>
      <c r="I94" s="5">
        <f>I91+I92+I93</f>
        <v>362467.7246253613</v>
      </c>
    </row>
    <row r="95" spans="1:9" x14ac:dyDescent="0.25">
      <c r="A95" t="s">
        <v>230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</row>
    <row r="96" spans="1:9" x14ac:dyDescent="0.25">
      <c r="A96" t="s">
        <v>231</v>
      </c>
      <c r="C96" s="5">
        <f>IF(1=MIN(MAX(1,ROUNDUP(vat_months/12,0)),7),-B85,0)</f>
        <v>213318</v>
      </c>
      <c r="D96" s="5">
        <f>IF(2=MIN(MAX(1,ROUNDUP(vat_months/12,0)),7),-B85,0)</f>
        <v>0</v>
      </c>
      <c r="E96" s="5">
        <f>IF(3=MIN(MAX(1,ROUNDUP(vat_months/12,0)),7),-B85,0)</f>
        <v>0</v>
      </c>
      <c r="F96" s="5">
        <f>IF(4=MIN(MAX(1,ROUNDUP(vat_months/12,0)),7),-B85,0)</f>
        <v>0</v>
      </c>
      <c r="G96" s="5">
        <f>IF(5=MIN(MAX(1,ROUNDUP(vat_months/12,0)),7),-B85,0)</f>
        <v>0</v>
      </c>
      <c r="H96" s="5">
        <f>IF(6=MIN(MAX(1,ROUNDUP(vat_months/12,0)),7),-B85,0)</f>
        <v>0</v>
      </c>
      <c r="I96" s="5">
        <f>IF(7=MIN(MAX(1,ROUNDUP(vat_months/12,0)),7),-B85,0)</f>
        <v>0</v>
      </c>
    </row>
    <row r="97" spans="1:9" x14ac:dyDescent="0.25">
      <c r="A97" t="s">
        <v>232</v>
      </c>
      <c r="C97" s="5">
        <f>C94+C95+C96</f>
        <v>406287.81040774117</v>
      </c>
      <c r="D97" s="5">
        <f>C97+D94+D95+D96</f>
        <v>665436.8183698726</v>
      </c>
      <c r="E97" s="5">
        <f>D97+E94+E95+E96</f>
        <v>967568.0888952455</v>
      </c>
      <c r="F97" s="5">
        <f>E97+F94+F95+F96</f>
        <v>1284338.4163372358</v>
      </c>
      <c r="G97" s="5">
        <f>F97+G94+G95+G96</f>
        <v>1616040.581834177</v>
      </c>
      <c r="H97" s="5">
        <f>G97+H94+H95+H96</f>
        <v>1962973.2221471677</v>
      </c>
      <c r="I97" s="5">
        <f>H97+I94+I95+I96</f>
        <v>2325440.946772529</v>
      </c>
    </row>
    <row r="98" spans="1:9" x14ac:dyDescent="0.25">
      <c r="A98" t="s">
        <v>233</v>
      </c>
      <c r="C98" s="7">
        <f>IF((C92+C93)=0,0,-C91/(C92+C93))</f>
        <v>1.378098533877723</v>
      </c>
      <c r="D98" s="7">
        <f>IF((D92+D93)=0,0,-D91/(D92+D93))</f>
        <v>1.5077678200507654</v>
      </c>
      <c r="E98" s="7">
        <f>IF((E92+E93)=0,0,-E91/(E92+E93))</f>
        <v>1.5919858146871788</v>
      </c>
      <c r="F98" s="7">
        <f>IF((F92+F93)=0,0,-F91/(F92+F93))</f>
        <v>1.6206690887487032</v>
      </c>
      <c r="G98" s="7">
        <f>IF((G92+G93)=0,0,-G91/(G92+G93))</f>
        <v>1.64992602829146</v>
      </c>
      <c r="H98" s="7">
        <f>IF((H92+H93)=0,0,-H91/(H92+H93))</f>
        <v>1.6797681066250711</v>
      </c>
      <c r="I98" s="7">
        <f>IF((I92+I93)=0,0,-I91/(I92+I93))</f>
        <v>1.7102070265253546</v>
      </c>
    </row>
    <row r="100" spans="1:9" x14ac:dyDescent="0.25">
      <c r="A100" t="s">
        <v>26</v>
      </c>
      <c r="C100" s="5">
        <f>IF(1=7,'P&amp;L'!I32/cap,0)</f>
        <v>0</v>
      </c>
      <c r="D100" s="5">
        <f>IF(2=7,'P&amp;L'!I32/cap,0)</f>
        <v>0</v>
      </c>
      <c r="E100" s="5">
        <f>IF(3=7,'P&amp;L'!I32/cap,0)</f>
        <v>0</v>
      </c>
      <c r="F100" s="5">
        <f>IF(4=7,'P&amp;L'!I32/cap,0)</f>
        <v>0</v>
      </c>
      <c r="G100" s="5">
        <f>IF(5=7,'P&amp;L'!I32/cap,0)</f>
        <v>0</v>
      </c>
      <c r="H100" s="5">
        <f>IF(6=7,'P&amp;L'!I32/cap,0)</f>
        <v>0</v>
      </c>
      <c r="I100" s="5">
        <f>IF(7=7,'P&amp;L'!I32/cap,0)</f>
        <v>12469097.568749953</v>
      </c>
    </row>
    <row r="101" spans="1:9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-249381.95137500018</v>
      </c>
    </row>
    <row r="102" spans="1:9" x14ac:dyDescent="0.25">
      <c r="A102" t="s">
        <v>28</v>
      </c>
      <c r="C102" s="5">
        <f>IF(1&lt;7,0,IF(B86=0,0,-(B86+CUMPRINC(Assumptions!$D$48/12,Assumptions!$D$49*12,B86,1,84,0))))</f>
        <v>0</v>
      </c>
      <c r="D102" s="5">
        <f>IF(2&lt;7,0,IF(B86=0,0,-(B86+CUMPRINC(Assumptions!$D$48/12,Assumptions!$D$49*12,B86,1,84,0))))</f>
        <v>0</v>
      </c>
      <c r="E102" s="5">
        <f>IF(3&lt;7,0,IF(B86=0,0,-(B86+CUMPRINC(Assumptions!$D$48/12,Assumptions!$D$49*12,B86,1,84,0))))</f>
        <v>0</v>
      </c>
      <c r="F102" s="5">
        <f>IF(4&lt;7,0,IF(B86=0,0,-(B86+CUMPRINC(Assumptions!$D$48/12,Assumptions!$D$49*12,B86,1,84,0))))</f>
        <v>0</v>
      </c>
      <c r="G102" s="5">
        <f>IF(5&lt;7,0,IF(B86=0,0,-(B86+CUMPRINC(Assumptions!$D$48/12,Assumptions!$D$49*12,B86,1,84,0))))</f>
        <v>0</v>
      </c>
      <c r="H102" s="5">
        <f>IF(6&lt;7,0,IF(B86=0,0,-(B86+CUMPRINC(Assumptions!$D$48/12,Assumptions!$D$49*12,B86,1,84,0))))</f>
        <v>0</v>
      </c>
      <c r="I102" s="5">
        <f>IF(7&lt;7,0,IF(B86=0,0,-(B86+CUMPRINC(Assumptions!$D$48/12,Assumptions!$D$49*12,B86,1,84,0))))</f>
        <v>-3661280.0136990235</v>
      </c>
    </row>
    <row r="103" spans="1:9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8558435.60367593</v>
      </c>
    </row>
    <row r="105" spans="1:9" x14ac:dyDescent="0.25">
      <c r="A105" t="s">
        <v>208</v>
      </c>
      <c r="C105" s="5">
        <f>154375.84832619294</f>
        <v>154375.84832619294</v>
      </c>
      <c r="D105" s="5">
        <f>207319.20636970515</f>
        <v>207319.20636970515</v>
      </c>
      <c r="E105" s="5">
        <f>241705.0164202982</f>
        <v>241705.0164202982</v>
      </c>
      <c r="F105" s="5">
        <f>253416.26195359233</f>
        <v>253416.26195359233</v>
      </c>
      <c r="G105" s="5">
        <f>265361.73239755305</f>
        <v>265361.73239755305</v>
      </c>
      <c r="H105" s="5">
        <f>277546.11225039256</f>
        <v>277546.11225039256</v>
      </c>
      <c r="I105" s="5">
        <f>289974.17970028904</f>
        <v>289974.17970028904</v>
      </c>
    </row>
    <row r="106" spans="1:9" x14ac:dyDescent="0.25">
      <c r="A106" t="s">
        <v>209</v>
      </c>
      <c r="C106" s="5">
        <f>38593.962081548234</f>
        <v>38593.962081548234</v>
      </c>
      <c r="D106" s="5">
        <f>51829.801592426316</f>
        <v>51829.801592426316</v>
      </c>
      <c r="E106" s="5">
        <f>60426.254105074564</f>
        <v>60426.254105074564</v>
      </c>
      <c r="F106" s="5">
        <f>63354.065488398104</f>
        <v>63354.065488398104</v>
      </c>
      <c r="G106" s="5">
        <f>66340.43309938826</f>
        <v>66340.43309938826</v>
      </c>
      <c r="H106" s="5">
        <f>69386.5280625982</f>
        <v>69386.5280625982</v>
      </c>
      <c r="I106" s="5">
        <f>72493.54492507229</f>
        <v>72493.54492507229</v>
      </c>
    </row>
    <row r="107" spans="1:9" x14ac:dyDescent="0.25">
      <c r="A107" t="s">
        <v>234</v>
      </c>
      <c r="C107" s="5">
        <f>IF(1=7,5980756.606717315,0)</f>
        <v>0</v>
      </c>
      <c r="D107" s="5">
        <f>IF(2=7,5980756.606717315,0)</f>
        <v>0</v>
      </c>
      <c r="E107" s="5">
        <f>IF(3=7,5980756.606717315,0)</f>
        <v>0</v>
      </c>
      <c r="F107" s="5">
        <f>IF(4=7,5980756.606717315,0)</f>
        <v>0</v>
      </c>
      <c r="G107" s="5">
        <f>IF(5=7,5980756.606717315,0)</f>
        <v>0</v>
      </c>
      <c r="H107" s="5">
        <f>IF(6=7,5980756.606717315,0)</f>
        <v>0</v>
      </c>
      <c r="I107" s="5">
        <f>IF(7=7,5980756.606717315,0)</f>
        <v>5980756.606717315</v>
      </c>
    </row>
    <row r="108" spans="1:9" x14ac:dyDescent="0.25">
      <c r="A108" t="s">
        <v>235</v>
      </c>
      <c r="C108" s="5">
        <f>IF(1=7,2577678.9969586153,0)</f>
        <v>0</v>
      </c>
      <c r="D108" s="5">
        <f>IF(2=7,2577678.9969586153,0)</f>
        <v>0</v>
      </c>
      <c r="E108" s="5">
        <f>IF(3=7,2577678.9969586153,0)</f>
        <v>0</v>
      </c>
      <c r="F108" s="5">
        <f>IF(4=7,2577678.9969586153,0)</f>
        <v>0</v>
      </c>
      <c r="G108" s="5">
        <f>IF(5=7,2577678.9969586153,0)</f>
        <v>0</v>
      </c>
      <c r="H108" s="5">
        <f>IF(6=7,2577678.9969586153,0)</f>
        <v>0</v>
      </c>
      <c r="I108" s="5">
        <f>IF(7=7,2577678.9969586153,0)</f>
        <v>2577678.9969586153</v>
      </c>
    </row>
    <row r="109" spans="1:9" x14ac:dyDescent="0.25">
      <c r="A109" t="s">
        <v>236</v>
      </c>
      <c r="C109" s="5">
        <f>(C95+C96)*(1-gp_pct)</f>
        <v>170654.40000000002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</row>
    <row r="110" spans="1:9" x14ac:dyDescent="0.25">
      <c r="A110" t="s">
        <v>237</v>
      </c>
      <c r="C110" s="5">
        <f>(C95+C96)*gp_pct</f>
        <v>42663.59999999999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</row>
    <row r="111" spans="1:9" x14ac:dyDescent="0.25">
      <c r="A111" s="3" t="s">
        <v>238</v>
      </c>
      <c r="C111" s="5">
        <f>SUM(C105:C110)</f>
        <v>406287.81040774117</v>
      </c>
      <c r="D111" s="5">
        <f>SUM(D105:D110)</f>
        <v>259149.00796213147</v>
      </c>
      <c r="E111" s="5">
        <f>SUM(E105:E110)</f>
        <v>302131.27052537276</v>
      </c>
      <c r="F111" s="5">
        <f>SUM(F105:F110)</f>
        <v>316770.32744199043</v>
      </c>
      <c r="G111" s="5">
        <f>SUM(G105:G110)</f>
        <v>331702.1654969413</v>
      </c>
      <c r="H111" s="5">
        <f>SUM(H105:H110)</f>
        <v>346932.64031299076</v>
      </c>
      <c r="I111" s="5">
        <f>SUM(I105:I110)</f>
        <v>8920903.328301292</v>
      </c>
    </row>
    <row r="113" spans="1:9" x14ac:dyDescent="0.25">
      <c r="A113" t="s">
        <v>239</v>
      </c>
      <c r="C113" s="5">
        <f>C94+C95+C96+C103</f>
        <v>406287.81040774117</v>
      </c>
      <c r="D113" s="5">
        <f>D94+D95+D96+D103</f>
        <v>259149.00796213147</v>
      </c>
      <c r="E113" s="5">
        <f>E94+E95+E96+E103</f>
        <v>302131.27052537276</v>
      </c>
      <c r="F113" s="5">
        <f>F94+F95+F96+F103</f>
        <v>316770.32744199043</v>
      </c>
      <c r="G113" s="5">
        <f>G94+G95+G96+G103</f>
        <v>331702.1654969413</v>
      </c>
      <c r="H113" s="5">
        <f>H94+H95+H96+H103</f>
        <v>346932.64031299076</v>
      </c>
      <c r="I113" s="5">
        <f>I94+I95+I96+I103</f>
        <v>8920903.328301292</v>
      </c>
    </row>
    <row r="114" spans="1:9" x14ac:dyDescent="0.25">
      <c r="A114" t="s">
        <v>240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</row>
    <row r="116" spans="1:9" x14ac:dyDescent="0.25">
      <c r="A116" t="s">
        <v>241</v>
      </c>
      <c r="B116" s="5">
        <f>-B87</f>
        <v>-2983165.494897959</v>
      </c>
      <c r="C116" s="5">
        <f>C105+C107+C109</f>
        <v>325030.24832619296</v>
      </c>
      <c r="D116" s="5">
        <f>D105+D107+D109</f>
        <v>207319.20636970515</v>
      </c>
      <c r="E116" s="5">
        <f>E105+E107+E109</f>
        <v>241705.0164202982</v>
      </c>
      <c r="F116" s="5">
        <f>F105+F107+F109</f>
        <v>253416.26195359233</v>
      </c>
      <c r="G116" s="5">
        <f>G105+G107+G109</f>
        <v>265361.73239755305</v>
      </c>
      <c r="H116" s="5">
        <f>H105+H107+H109</f>
        <v>277546.11225039256</v>
      </c>
      <c r="I116" s="5">
        <f>I105+I107+I109</f>
        <v>6270730.7864176035</v>
      </c>
    </row>
    <row r="117" spans="1:9" x14ac:dyDescent="0.25">
      <c r="A117" t="s">
        <v>242</v>
      </c>
      <c r="B117" s="5">
        <f>B116</f>
        <v>-2983165.494897959</v>
      </c>
      <c r="C117" s="5">
        <f>B117+C116</f>
        <v>-2658135.2465717657</v>
      </c>
      <c r="D117" s="5">
        <f>C117+D116</f>
        <v>-2450816.0402020607</v>
      </c>
      <c r="E117" s="5">
        <f>D117+E116</f>
        <v>-2209111.0237817625</v>
      </c>
      <c r="F117" s="5">
        <f>E117+F116</f>
        <v>-1955694.7618281702</v>
      </c>
      <c r="G117" s="5">
        <f>F117+G116</f>
        <v>-1690333.029430617</v>
      </c>
      <c r="H117" s="5">
        <f>G117+H116</f>
        <v>-1412786.9171802246</v>
      </c>
      <c r="I117" s="5">
        <f>H117+I116</f>
        <v>4857943.869237379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245</v>
      </c>
    </row>
    <row r="3" spans="1:7" x14ac:dyDescent="0.25">
      <c r="A3" s="3" t="s">
        <v>246</v>
      </c>
      <c r="B3" s="3" t="s">
        <v>13</v>
      </c>
      <c r="C3" s="3" t="s">
        <v>19</v>
      </c>
      <c r="D3" s="3" t="s">
        <v>31</v>
      </c>
      <c r="E3" s="3" t="s">
        <v>219</v>
      </c>
      <c r="F3" s="3" t="s">
        <v>233</v>
      </c>
      <c r="G3" s="3" t="s">
        <v>247</v>
      </c>
    </row>
    <row r="4" spans="1:7" x14ac:dyDescent="0.25">
      <c r="A4" t="s">
        <v>81</v>
      </c>
      <c r="B4" s="5">
        <v>0</v>
      </c>
      <c r="C4" s="5">
        <v>7635596</v>
      </c>
      <c r="D4" s="6">
        <v>0.10864859543275293</v>
      </c>
      <c r="E4" s="7">
        <v>1.8361133258740763</v>
      </c>
      <c r="F4" s="7"/>
      <c r="G4" t="s">
        <v>248</v>
      </c>
    </row>
    <row r="5" spans="1:7" x14ac:dyDescent="0.25">
      <c r="A5" t="s">
        <v>12</v>
      </c>
      <c r="B5" s="5">
        <v>4820944</v>
      </c>
      <c r="C5" s="5">
        <v>3945819</v>
      </c>
      <c r="D5" s="6">
        <v>0.14844448271900756</v>
      </c>
      <c r="E5" s="7">
        <v>2.325776201800338</v>
      </c>
      <c r="F5" s="7">
        <v>2.069581559093332</v>
      </c>
      <c r="G5" t="s">
        <v>249</v>
      </c>
    </row>
    <row r="6" spans="1:7" x14ac:dyDescent="0.25">
      <c r="A6" t="s">
        <v>83</v>
      </c>
      <c r="B6" s="5">
        <v>6267227</v>
      </c>
      <c r="C6" s="5">
        <v>2812511</v>
      </c>
      <c r="D6" s="6">
        <v>0.17519950607671297</v>
      </c>
      <c r="E6" s="7">
        <v>2.727262117489933</v>
      </c>
      <c r="F6" s="7">
        <v>1.5919858146871786</v>
      </c>
      <c r="G6" t="s">
        <v>248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2026-09-20T23:04:09Z</dcterms:created>
  <dcterms:modified xsi:type="dcterms:W3CDTF">2026-09-20T23:04:09Z</dcterms:modified>
</cp:coreProperties>
</file>